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Morten\Desktop\"/>
    </mc:Choice>
  </mc:AlternateContent>
  <bookViews>
    <workbookView xWindow="0" yWindow="0" windowWidth="28800" windowHeight="12210"/>
  </bookViews>
  <sheets>
    <sheet name="Beregning af arbejdsforhold" sheetId="4" r:id="rId1"/>
    <sheet name="Ark1" sheetId="5" r:id="rId2"/>
  </sheets>
  <definedNames>
    <definedName name="Antal_hold_pr._år.">'Beregning af arbejdsforhold'!#REF!</definedName>
    <definedName name="Gns._Antal_lektioner_ud_over_lovpakken">'Beregning af arbejdsforhold'!#REF!</definedName>
    <definedName name="Pris_pr._elev_for_glatbane">'Beregning af arbejdsforhold'!#REF!</definedName>
    <definedName name="Pris_pr._elev_for_manøvrebane">'Beregning af arbejdsforhold'!#REF!</definedName>
    <definedName name="Skattefri_kørselsgodtgørelse_o_20.000_km">'Beregning af arbejdsforhold'!#REF!</definedName>
    <definedName name="Skattefri_kørselsgodtgørelse_u_20.000_km">'Beregning af arbejdsforhold'!#REF!</definedName>
    <definedName name="Skatteprocent">'Beregning af arbejdsforhold'!#REF!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2" i="4" l="1"/>
  <c r="G191" i="4"/>
  <c r="G183" i="4"/>
  <c r="G181" i="4"/>
  <c r="G179" i="4"/>
  <c r="G177" i="4"/>
  <c r="G176" i="4"/>
  <c r="G167" i="4"/>
  <c r="G163" i="4"/>
  <c r="G162" i="4"/>
  <c r="G161" i="4"/>
  <c r="E110" i="4"/>
  <c r="G129" i="4"/>
  <c r="G128" i="4"/>
  <c r="G127" i="4"/>
  <c r="G126" i="4"/>
  <c r="G125" i="4"/>
  <c r="G124" i="4"/>
  <c r="G123" i="4"/>
  <c r="G122" i="4"/>
  <c r="G121" i="4"/>
  <c r="G118" i="4"/>
  <c r="G117" i="4"/>
  <c r="G112" i="4"/>
  <c r="G109" i="4"/>
  <c r="G108" i="4"/>
  <c r="G77" i="4"/>
  <c r="G76" i="4"/>
  <c r="E86" i="4"/>
  <c r="G86" i="4" s="1"/>
  <c r="E85" i="4"/>
  <c r="G85" i="4" s="1"/>
  <c r="E84" i="4"/>
  <c r="G84" i="4" s="1"/>
  <c r="G78" i="4"/>
  <c r="G70" i="4"/>
  <c r="G69" i="4"/>
  <c r="G68" i="4"/>
  <c r="G73" i="4" s="1"/>
  <c r="G46" i="4"/>
  <c r="G45" i="4"/>
  <c r="G44" i="4"/>
  <c r="G42" i="4"/>
  <c r="G38" i="4"/>
  <c r="D185" i="4" s="1"/>
  <c r="G36" i="4"/>
  <c r="G35" i="4"/>
  <c r="G187" i="4" s="1"/>
  <c r="G41" i="4"/>
  <c r="G21" i="4"/>
  <c r="G20" i="4"/>
  <c r="G26" i="4" s="1"/>
  <c r="E27" i="4"/>
  <c r="G27" i="4" s="1"/>
  <c r="E26" i="4"/>
  <c r="G193" i="4" l="1"/>
  <c r="G165" i="4"/>
  <c r="G110" i="4"/>
  <c r="G111" i="4" s="1"/>
  <c r="G185" i="4"/>
  <c r="G28" i="4"/>
  <c r="G47" i="4"/>
  <c r="E47" i="4" l="1"/>
  <c r="E111" i="4" l="1"/>
  <c r="D193" i="4" l="1"/>
  <c r="D165" i="4"/>
  <c r="E73" i="4" l="1"/>
  <c r="E41" i="4"/>
  <c r="E28" i="4" l="1"/>
  <c r="E22" i="4" l="1"/>
  <c r="G22" i="4" s="1"/>
  <c r="G39" i="4" l="1"/>
  <c r="G29" i="4"/>
  <c r="E39" i="4"/>
  <c r="E48" i="4" s="1"/>
  <c r="E29" i="4"/>
  <c r="E49" i="4" l="1"/>
  <c r="E50" i="4" s="1"/>
  <c r="E71" i="4" s="1"/>
  <c r="E81" i="4"/>
  <c r="G48" i="4"/>
  <c r="G113" i="4"/>
  <c r="G114" i="4" s="1"/>
  <c r="G115" i="4" s="1"/>
  <c r="G135" i="4" s="1"/>
  <c r="G59" i="4"/>
  <c r="H10" i="4"/>
  <c r="H11" i="4" s="1"/>
  <c r="E113" i="4"/>
  <c r="E91" i="4"/>
  <c r="E142" i="4" s="1"/>
  <c r="E59" i="4"/>
  <c r="E114" i="4" l="1"/>
  <c r="E115" i="4" s="1"/>
  <c r="G116" i="4"/>
  <c r="G131" i="4"/>
  <c r="G130" i="4"/>
  <c r="G49" i="4"/>
  <c r="G81" i="4"/>
  <c r="G91" i="4"/>
  <c r="G142" i="4" s="1"/>
  <c r="E51" i="4"/>
  <c r="E74" i="4"/>
  <c r="E75" i="4" s="1"/>
  <c r="E72" i="4"/>
  <c r="E90" i="4" s="1"/>
  <c r="E141" i="4" s="1"/>
  <c r="H6" i="4"/>
  <c r="H7" i="4" s="1"/>
  <c r="G132" i="4" l="1"/>
  <c r="G138" i="4" s="1"/>
  <c r="E116" i="4"/>
  <c r="G168" i="4" s="1"/>
  <c r="G196" i="4" s="1"/>
  <c r="E135" i="4"/>
  <c r="E130" i="4"/>
  <c r="E131" i="4"/>
  <c r="G186" i="4"/>
  <c r="G51" i="4"/>
  <c r="G52" i="4" s="1"/>
  <c r="G60" i="4" s="1"/>
  <c r="G50" i="4"/>
  <c r="G71" i="4" s="1"/>
  <c r="E52" i="4"/>
  <c r="E60" i="4" s="1"/>
  <c r="E89" i="4"/>
  <c r="E140" i="4" s="1"/>
  <c r="E148" i="4" s="1"/>
  <c r="G198" i="4" l="1"/>
  <c r="D168" i="4"/>
  <c r="D196" i="4" s="1"/>
  <c r="G169" i="4"/>
  <c r="H168" i="4" s="1"/>
  <c r="G173" i="4" s="1"/>
  <c r="G199" i="4" s="1"/>
  <c r="G180" i="4"/>
  <c r="G197" i="4" s="1"/>
  <c r="E132" i="4"/>
  <c r="E138" i="4" s="1"/>
  <c r="E144" i="4" s="1"/>
  <c r="G74" i="4"/>
  <c r="G75" i="4" s="1"/>
  <c r="G72" i="4"/>
  <c r="G90" i="4" s="1"/>
  <c r="G141" i="4" s="1"/>
  <c r="E97" i="4"/>
  <c r="E93" i="4"/>
  <c r="D198" i="4"/>
  <c r="D180" i="4"/>
  <c r="D197" i="4" s="1"/>
  <c r="D202" i="4"/>
  <c r="G202" i="4" s="1"/>
  <c r="D169" i="4"/>
  <c r="E167" i="4" s="1"/>
  <c r="D186" i="4"/>
  <c r="H167" i="4" l="1"/>
  <c r="G172" i="4" s="1"/>
  <c r="E168" i="4"/>
  <c r="G89" i="4"/>
  <c r="E146" i="4"/>
  <c r="E145" i="4" s="1"/>
  <c r="E95" i="4"/>
  <c r="D172" i="4" l="1"/>
  <c r="D173" i="4"/>
  <c r="D199" i="4" s="1"/>
  <c r="G174" i="4"/>
  <c r="G97" i="4"/>
  <c r="G140" i="4"/>
  <c r="G93" i="4"/>
  <c r="E94" i="4"/>
  <c r="D174" i="4" l="1"/>
  <c r="G148" i="4"/>
  <c r="G144" i="4"/>
  <c r="D200" i="4"/>
  <c r="G200" i="4"/>
  <c r="G95" i="4"/>
  <c r="G94" i="4" s="1"/>
  <c r="G204" i="4" l="1"/>
  <c r="G206" i="4" s="1"/>
  <c r="G98" i="4"/>
  <c r="G100" i="4" s="1"/>
  <c r="G102" i="4" s="1"/>
  <c r="J10" i="4" s="1"/>
  <c r="J11" i="4" s="1"/>
  <c r="G149" i="4"/>
  <c r="D204" i="4"/>
  <c r="D206" i="4" s="1"/>
  <c r="E149" i="4"/>
  <c r="E151" i="4" s="1"/>
  <c r="E98" i="4"/>
  <c r="E100" i="4" s="1"/>
  <c r="E102" i="4" s="1"/>
  <c r="J6" i="4" s="1"/>
  <c r="J7" i="4" s="1"/>
  <c r="G146" i="4"/>
  <c r="G151" i="4" l="1"/>
  <c r="G154" i="4" s="1"/>
  <c r="K10" i="4" s="1"/>
  <c r="K11" i="4" s="1"/>
  <c r="G53" i="4"/>
  <c r="G54" i="4" s="1"/>
  <c r="G55" i="4" s="1"/>
  <c r="G61" i="4" s="1"/>
  <c r="G62" i="4" s="1"/>
  <c r="I10" i="4" s="1"/>
  <c r="I11" i="4" s="1"/>
  <c r="G145" i="4"/>
  <c r="E53" i="4"/>
  <c r="E54" i="4" s="1"/>
  <c r="E55" i="4" s="1"/>
  <c r="E61" i="4" s="1"/>
  <c r="E62" i="4" s="1"/>
  <c r="I6" i="4" s="1"/>
  <c r="I7" i="4" s="1"/>
  <c r="E154" i="4"/>
  <c r="K6" i="4" s="1"/>
  <c r="K7" i="4" s="1"/>
</calcChain>
</file>

<file path=xl/sharedStrings.xml><?xml version="1.0" encoding="utf-8"?>
<sst xmlns="http://schemas.openxmlformats.org/spreadsheetml/2006/main" count="167" uniqueCount="135">
  <si>
    <t>Feriepenge</t>
  </si>
  <si>
    <t>Revisor/Bogholder</t>
  </si>
  <si>
    <t>Lokale udgifter</t>
  </si>
  <si>
    <t>Internet</t>
  </si>
  <si>
    <t>Vand, varme, el</t>
  </si>
  <si>
    <t>Tab på debitorer</t>
  </si>
  <si>
    <t>Beregning af antal elever</t>
  </si>
  <si>
    <t>Elever</t>
  </si>
  <si>
    <t>Omsætning</t>
  </si>
  <si>
    <t>Assistent m bil</t>
  </si>
  <si>
    <t>Timer i alt</t>
  </si>
  <si>
    <t>Selvstændig</t>
  </si>
  <si>
    <t xml:space="preserve">Forsikring </t>
  </si>
  <si>
    <t>Dine indtastninger</t>
  </si>
  <si>
    <t>Timer pr år</t>
  </si>
  <si>
    <t>Regnskab</t>
  </si>
  <si>
    <t>Løn pr time</t>
  </si>
  <si>
    <t>Timeløn i alt</t>
  </si>
  <si>
    <t>Assistent uden bil</t>
  </si>
  <si>
    <t>Assistent med egen bil</t>
  </si>
  <si>
    <t>Aflønning pr km i bil</t>
  </si>
  <si>
    <t>Kørsel på bane pr. elev i timer</t>
  </si>
  <si>
    <t xml:space="preserve">Antal timer til rådigheded efter teori </t>
  </si>
  <si>
    <t>Antal elever</t>
  </si>
  <si>
    <t>Timer bag rat</t>
  </si>
  <si>
    <t>Ekstra aflønning egen bil</t>
  </si>
  <si>
    <t>Forskel aflønning pr km -omk/km</t>
  </si>
  <si>
    <t>Tillæg KR 5 ekstra pr. kørt time)</t>
  </si>
  <si>
    <t>Med eget CVR og bil</t>
  </si>
  <si>
    <t>Forudsætninger/input</t>
  </si>
  <si>
    <t>Kørte km over 20.000</t>
  </si>
  <si>
    <t>Regnskabsassistance</t>
  </si>
  <si>
    <t>Ekstra fradrag i alt</t>
  </si>
  <si>
    <t>Pris excl moms</t>
  </si>
  <si>
    <t>Skat</t>
  </si>
  <si>
    <t>Timer til elever</t>
  </si>
  <si>
    <t>Kørsel i km</t>
  </si>
  <si>
    <t>Indtjening</t>
  </si>
  <si>
    <t>Stamdata</t>
  </si>
  <si>
    <t>Anskaffelsespris</t>
  </si>
  <si>
    <t>Årlig afskrivning</t>
  </si>
  <si>
    <t>Private km</t>
  </si>
  <si>
    <t>Erhverv km</t>
  </si>
  <si>
    <t>Fordeling af afskrivninger</t>
  </si>
  <si>
    <t>Privat</t>
  </si>
  <si>
    <t>Erhverv</t>
  </si>
  <si>
    <t>Brænstof forbrug</t>
  </si>
  <si>
    <t>km/l</t>
  </si>
  <si>
    <t>Brænstof pris</t>
  </si>
  <si>
    <t>Kr/l</t>
  </si>
  <si>
    <t>Service interval</t>
  </si>
  <si>
    <t>Antal service pga. skolebrug</t>
  </si>
  <si>
    <t>Service pris</t>
  </si>
  <si>
    <t>Øvrige omkostninger til vask, dæk, og rep</t>
  </si>
  <si>
    <t>Lektion længde i Km</t>
  </si>
  <si>
    <t>Erhvervsmæssig kørsel omregnet til lektioner</t>
  </si>
  <si>
    <t>Ektra tilskud pr. lektion ved anvendelse af egen bil</t>
  </si>
  <si>
    <t>Faste omkostninger</t>
  </si>
  <si>
    <t>Forsikring</t>
  </si>
  <si>
    <t>Vægtafgift</t>
  </si>
  <si>
    <t>Medregnes ikke med da disse omkostninger skal afholdes uanset om bilen bruges til skolebrug eller privat</t>
  </si>
  <si>
    <t>Omkostninger ved at køre i privat bil, til skolebrug</t>
  </si>
  <si>
    <t>Brænstof</t>
  </si>
  <si>
    <t>Service</t>
  </si>
  <si>
    <t>Afskrivninger</t>
  </si>
  <si>
    <t>Omkostning ved privat hold af skolebil</t>
  </si>
  <si>
    <t>Godtgørelse for privat hold</t>
  </si>
  <si>
    <t>Netto resultat</t>
  </si>
  <si>
    <t>Feriepenge Kr.</t>
  </si>
  <si>
    <t>Km. pr kørelektion</t>
  </si>
  <si>
    <t>Gns. Timer pr. elev for lovpakke, køreprøve og evt. ekstra timer</t>
  </si>
  <si>
    <t>Forskel mellem aflønning pr. km bil og private omk. Til drift</t>
  </si>
  <si>
    <t>Omkostninger</t>
  </si>
  <si>
    <t>Ekstra forsikring + div ekstra omk.</t>
  </si>
  <si>
    <t>Kørselslog</t>
  </si>
  <si>
    <t>Kørselsgodtgørelse som selvstændig</t>
  </si>
  <si>
    <t>Kørselsgodtgørelse under 20.000 km</t>
  </si>
  <si>
    <t>Kørselsgodtgørelse over 20.000 km</t>
  </si>
  <si>
    <t>Øvrig fradragsberettigede erhvervsmæssig kørsel over 20.000 km</t>
  </si>
  <si>
    <t>Resultat før skat</t>
  </si>
  <si>
    <t>Resultat efter skat</t>
  </si>
  <si>
    <t>Udbetalt skattefri kørsel</t>
  </si>
  <si>
    <t>Private omk. Vedr. bildrift</t>
  </si>
  <si>
    <t>Resultat efter skattemæssige reguleringer</t>
  </si>
  <si>
    <t>Brutto</t>
  </si>
  <si>
    <t>Pris for lovpakke</t>
  </si>
  <si>
    <t>Pris for ekstra timer</t>
  </si>
  <si>
    <t>Kørekortpris inklusive moms (lovpakke +kP og evt. ekstra timer)</t>
  </si>
  <si>
    <t>Pris eks. Moms for manøvrebane</t>
  </si>
  <si>
    <t>Pris eks. Moms for glatbane</t>
  </si>
  <si>
    <t>Manøvrebane</t>
  </si>
  <si>
    <t>Glatbane</t>
  </si>
  <si>
    <t>Reklame, google, skilte, mv.</t>
  </si>
  <si>
    <t>Omk. Jf. ovenfor</t>
  </si>
  <si>
    <t xml:space="preserve">Digital kørebog </t>
  </si>
  <si>
    <t>Gns. Antal elever pr. manøvrebane</t>
  </si>
  <si>
    <t>Gns. Antal elever pr. glatbane</t>
  </si>
  <si>
    <t>3 km. pr. lektion til transport mellem elever</t>
  </si>
  <si>
    <t>Div. Teorimateriale, forbrugstoffer mv.</t>
  </si>
  <si>
    <t>Vore forudsætninger</t>
  </si>
  <si>
    <t>Ekstra forsikring</t>
  </si>
  <si>
    <t>Brutto-løn til sammenligning</t>
  </si>
  <si>
    <t>Øvrige omkostninger til vask, dæk, og rep pr.km.</t>
  </si>
  <si>
    <t>Effektiv timeløn, inkl. feriepenge før skat</t>
  </si>
  <si>
    <t>Vi burde nok skjule disse celler</t>
  </si>
  <si>
    <t>Indtast ønsket ugentlig arbejdstid</t>
  </si>
  <si>
    <t>Assistent</t>
  </si>
  <si>
    <t>Underleverandør</t>
  </si>
  <si>
    <t>Vores forudsætninger</t>
  </si>
  <si>
    <t>Dine forudsætninger</t>
  </si>
  <si>
    <t>Resultat af dine ændringer</t>
  </si>
  <si>
    <t>Indkomst før skat</t>
  </si>
  <si>
    <t>Ekstra timeløn for kørsel i egen bil</t>
  </si>
  <si>
    <t>Teoritimer pr. uge</t>
  </si>
  <si>
    <t>Arbejdsuger</t>
  </si>
  <si>
    <t>Skatte procent</t>
  </si>
  <si>
    <t>Erhvevsmæssige km til godtgørelse</t>
  </si>
  <si>
    <t>Forskel mellem aflønning pr. km bil og private omk. Til drift i alt</t>
  </si>
  <si>
    <t>Fra Assistent(grundsats samme som assistent)</t>
  </si>
  <si>
    <t>Effekt af kørsel</t>
  </si>
  <si>
    <t>Effekt af kørsel i egen bil før skat</t>
  </si>
  <si>
    <t>Skattemæssige kørselstakst u 20.000km</t>
  </si>
  <si>
    <t>Ekstra fradrag/km for første 20.000 km</t>
  </si>
  <si>
    <t>Faktureringssats lektioner eks moms</t>
  </si>
  <si>
    <t>Ekstra tillæg for egen bil eks moms</t>
  </si>
  <si>
    <t>Kørte km til afregning</t>
  </si>
  <si>
    <t>Selvstændig køreskole</t>
  </si>
  <si>
    <t>Timer til adm. arbejde, transport til/fra KTA, øvrig udebiterbar tid m.v. /år</t>
  </si>
  <si>
    <t>Bildata, Der benyttes i ovenstående</t>
  </si>
  <si>
    <t>Forventet levetid i år (Antal år før bilen skal sælges)</t>
  </si>
  <si>
    <t>Salgspris efter X år.</t>
  </si>
  <si>
    <t>Beregning af arbejdsforhold</t>
  </si>
  <si>
    <t>Gule felter i arket er variable som du kan tilpasse til dine egne specifikke ønsker og situation</t>
  </si>
  <si>
    <t>Timeløn kr</t>
  </si>
  <si>
    <t>NB Det er kun de gule felter, der kan skrives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</si>
</sst>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_ * #,##0.0_ ;_ * \-#,##0.0_ ;_ * &quot;-&quot;??_ ;_ @_ "/>
    <numFmt numFmtId="166"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0"/>
      <name val="Calibri"/>
      <family val="2"/>
      <scheme val="minor"/>
    </font>
    <font>
      <b/>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2"/>
        <bgColor indexed="64"/>
      </patternFill>
    </fill>
    <fill>
      <patternFill patternType="solid">
        <fgColor theme="4" tint="0.79998168889431442"/>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5" fillId="0" borderId="0" xfId="0" applyFont="1" applyProtection="1">
      <protection hidden="1"/>
    </xf>
    <xf numFmtId="0" fontId="0" fillId="0" borderId="0" xfId="0" applyProtection="1">
      <protection hidden="1"/>
    </xf>
    <xf numFmtId="0" fontId="2" fillId="0" borderId="0" xfId="0" applyFont="1" applyProtection="1">
      <protection hidden="1"/>
    </xf>
    <xf numFmtId="0" fontId="0" fillId="5" borderId="2" xfId="0" applyFill="1" applyBorder="1" applyProtection="1">
      <protection hidden="1"/>
    </xf>
    <xf numFmtId="0" fontId="0" fillId="5" borderId="3" xfId="0" applyFill="1" applyBorder="1" applyProtection="1">
      <protection hidden="1"/>
    </xf>
    <xf numFmtId="0" fontId="0" fillId="5" borderId="4" xfId="0" applyFill="1" applyBorder="1" applyProtection="1">
      <protection hidden="1"/>
    </xf>
    <xf numFmtId="0" fontId="0" fillId="5" borderId="5" xfId="0" applyFill="1" applyBorder="1" applyProtection="1">
      <protection hidden="1"/>
    </xf>
    <xf numFmtId="0" fontId="0" fillId="5" borderId="0" xfId="0" applyFill="1" applyBorder="1" applyProtection="1">
      <protection hidden="1"/>
    </xf>
    <xf numFmtId="0" fontId="2" fillId="5" borderId="0" xfId="0" applyFont="1" applyFill="1" applyBorder="1" applyProtection="1">
      <protection hidden="1"/>
    </xf>
    <xf numFmtId="0" fontId="2" fillId="5" borderId="0" xfId="0" applyFont="1" applyFill="1" applyBorder="1" applyAlignment="1" applyProtection="1">
      <alignment horizontal="center"/>
      <protection hidden="1"/>
    </xf>
    <xf numFmtId="0" fontId="0" fillId="5" borderId="6" xfId="0" applyFill="1" applyBorder="1" applyProtection="1">
      <protection hidden="1"/>
    </xf>
    <xf numFmtId="164" fontId="1" fillId="5" borderId="22" xfId="1" applyNumberFormat="1" applyFont="1" applyFill="1" applyBorder="1" applyProtection="1">
      <protection hidden="1"/>
    </xf>
    <xf numFmtId="164" fontId="1" fillId="5" borderId="23" xfId="1" applyNumberFormat="1" applyFont="1" applyFill="1" applyBorder="1" applyProtection="1">
      <protection hidden="1"/>
    </xf>
    <xf numFmtId="164" fontId="0" fillId="5" borderId="22" xfId="1" applyNumberFormat="1" applyFont="1" applyFill="1" applyBorder="1" applyProtection="1">
      <protection hidden="1"/>
    </xf>
    <xf numFmtId="164" fontId="0" fillId="5" borderId="23" xfId="1" applyNumberFormat="1" applyFont="1" applyFill="1" applyBorder="1" applyProtection="1">
      <protection hidden="1"/>
    </xf>
    <xf numFmtId="164" fontId="0" fillId="5" borderId="0" xfId="1" applyNumberFormat="1" applyFont="1" applyFill="1" applyBorder="1" applyProtection="1">
      <protection hidden="1"/>
    </xf>
    <xf numFmtId="164" fontId="0" fillId="5" borderId="22" xfId="0" applyNumberFormat="1" applyFill="1" applyBorder="1" applyProtection="1">
      <protection hidden="1"/>
    </xf>
    <xf numFmtId="164" fontId="0" fillId="5" borderId="23" xfId="0" applyNumberFormat="1" applyFill="1" applyBorder="1" applyProtection="1">
      <protection hidden="1"/>
    </xf>
    <xf numFmtId="0" fontId="0" fillId="5" borderId="7" xfId="0" applyFill="1" applyBorder="1" applyProtection="1">
      <protection hidden="1"/>
    </xf>
    <xf numFmtId="0" fontId="0" fillId="5" borderId="8" xfId="0" applyFill="1" applyBorder="1" applyProtection="1">
      <protection hidden="1"/>
    </xf>
    <xf numFmtId="0" fontId="0" fillId="5" borderId="9" xfId="0" applyFill="1" applyBorder="1" applyProtection="1">
      <protection hidden="1"/>
    </xf>
    <xf numFmtId="0" fontId="0" fillId="0" borderId="0" xfId="0" applyFill="1" applyProtection="1">
      <protection hidden="1"/>
    </xf>
    <xf numFmtId="0" fontId="3" fillId="0" borderId="0" xfId="0" applyFont="1" applyProtection="1">
      <protection hidden="1"/>
    </xf>
    <xf numFmtId="0" fontId="0" fillId="0" borderId="10" xfId="0" applyBorder="1" applyProtection="1">
      <protection hidden="1"/>
    </xf>
    <xf numFmtId="0" fontId="0" fillId="0" borderId="11" xfId="0" applyBorder="1" applyProtection="1">
      <protection hidden="1"/>
    </xf>
    <xf numFmtId="2" fontId="0" fillId="0" borderId="11" xfId="0" applyNumberFormat="1" applyBorder="1" applyProtection="1">
      <protection hidden="1"/>
    </xf>
    <xf numFmtId="0" fontId="0" fillId="0" borderId="16" xfId="0" applyBorder="1" applyProtection="1">
      <protection hidden="1"/>
    </xf>
    <xf numFmtId="0" fontId="0" fillId="0" borderId="12" xfId="0" applyBorder="1" applyProtection="1">
      <protection hidden="1"/>
    </xf>
    <xf numFmtId="0" fontId="0" fillId="0" borderId="0" xfId="0" applyBorder="1" applyProtection="1">
      <protection hidden="1"/>
    </xf>
    <xf numFmtId="10" fontId="0" fillId="0" borderId="0" xfId="0" applyNumberFormat="1" applyBorder="1" applyProtection="1">
      <protection hidden="1"/>
    </xf>
    <xf numFmtId="0" fontId="0" fillId="0" borderId="17" xfId="0" applyBorder="1" applyProtection="1">
      <protection hidden="1"/>
    </xf>
    <xf numFmtId="164" fontId="0" fillId="0" borderId="0" xfId="1" applyNumberFormat="1" applyFont="1" applyBorder="1" applyProtection="1">
      <protection hidden="1"/>
    </xf>
    <xf numFmtId="1" fontId="0" fillId="0" borderId="17" xfId="0" applyNumberFormat="1" applyBorder="1" applyProtection="1">
      <protection hidden="1"/>
    </xf>
    <xf numFmtId="0" fontId="0" fillId="0" borderId="13" xfId="0" applyBorder="1" applyProtection="1">
      <protection hidden="1"/>
    </xf>
    <xf numFmtId="0" fontId="0" fillId="0" borderId="1" xfId="0" applyBorder="1" applyProtection="1">
      <protection hidden="1"/>
    </xf>
    <xf numFmtId="164" fontId="0" fillId="0" borderId="1" xfId="1" applyNumberFormat="1" applyFont="1" applyBorder="1" applyProtection="1">
      <protection hidden="1"/>
    </xf>
    <xf numFmtId="0" fontId="0" fillId="0" borderId="18" xfId="0" applyBorder="1" applyProtection="1">
      <protection hidden="1"/>
    </xf>
    <xf numFmtId="164" fontId="0" fillId="0" borderId="0" xfId="1" applyNumberFormat="1" applyFont="1" applyProtection="1">
      <protection hidden="1"/>
    </xf>
    <xf numFmtId="0" fontId="0" fillId="6" borderId="10" xfId="0" applyFill="1" applyBorder="1" applyProtection="1">
      <protection hidden="1"/>
    </xf>
    <xf numFmtId="2" fontId="0" fillId="6" borderId="11" xfId="0" applyNumberFormat="1" applyFill="1" applyBorder="1" applyProtection="1">
      <protection hidden="1"/>
    </xf>
    <xf numFmtId="164" fontId="0" fillId="6" borderId="11" xfId="1" applyNumberFormat="1" applyFont="1" applyFill="1" applyBorder="1" applyProtection="1">
      <protection hidden="1"/>
    </xf>
    <xf numFmtId="0" fontId="0" fillId="6" borderId="11" xfId="0" applyFill="1" applyBorder="1" applyProtection="1">
      <protection hidden="1"/>
    </xf>
    <xf numFmtId="164" fontId="0" fillId="6" borderId="16" xfId="1" applyNumberFormat="1" applyFont="1" applyFill="1" applyBorder="1" applyProtection="1">
      <protection hidden="1"/>
    </xf>
    <xf numFmtId="0" fontId="0" fillId="6" borderId="12" xfId="0" applyFill="1" applyBorder="1" applyProtection="1">
      <protection hidden="1"/>
    </xf>
    <xf numFmtId="2" fontId="0" fillId="6" borderId="0" xfId="0" applyNumberFormat="1" applyFill="1" applyBorder="1" applyProtection="1">
      <protection hidden="1"/>
    </xf>
    <xf numFmtId="164" fontId="0" fillId="6" borderId="0" xfId="1" applyNumberFormat="1" applyFont="1" applyFill="1" applyBorder="1" applyProtection="1">
      <protection hidden="1"/>
    </xf>
    <xf numFmtId="0" fontId="0" fillId="6" borderId="0" xfId="0" applyFill="1" applyBorder="1" applyProtection="1">
      <protection hidden="1"/>
    </xf>
    <xf numFmtId="0" fontId="0" fillId="6" borderId="17" xfId="0" applyFill="1" applyBorder="1" applyProtection="1">
      <protection hidden="1"/>
    </xf>
    <xf numFmtId="164" fontId="0" fillId="6" borderId="17" xfId="1" applyNumberFormat="1" applyFont="1" applyFill="1" applyBorder="1" applyProtection="1">
      <protection hidden="1"/>
    </xf>
    <xf numFmtId="0" fontId="0" fillId="6" borderId="13" xfId="0" applyFill="1" applyBorder="1" applyProtection="1">
      <protection hidden="1"/>
    </xf>
    <xf numFmtId="2" fontId="0" fillId="6" borderId="1" xfId="0" applyNumberFormat="1" applyFill="1" applyBorder="1" applyProtection="1">
      <protection hidden="1"/>
    </xf>
    <xf numFmtId="164" fontId="2" fillId="6" borderId="1" xfId="1" applyNumberFormat="1" applyFont="1" applyFill="1" applyBorder="1" applyProtection="1">
      <protection hidden="1"/>
    </xf>
    <xf numFmtId="0" fontId="0" fillId="6" borderId="1" xfId="0" applyFill="1" applyBorder="1" applyProtection="1">
      <protection hidden="1"/>
    </xf>
    <xf numFmtId="164" fontId="2" fillId="6" borderId="18" xfId="1" applyNumberFormat="1" applyFont="1" applyFill="1" applyBorder="1" applyProtection="1">
      <protection hidden="1"/>
    </xf>
    <xf numFmtId="0" fontId="0" fillId="0" borderId="12" xfId="0" applyFill="1" applyBorder="1" applyProtection="1">
      <protection hidden="1"/>
    </xf>
    <xf numFmtId="0" fontId="0" fillId="0" borderId="0" xfId="0" applyFill="1" applyBorder="1" applyProtection="1">
      <protection hidden="1"/>
    </xf>
    <xf numFmtId="0" fontId="0" fillId="3" borderId="12" xfId="0" applyFill="1" applyBorder="1" applyProtection="1">
      <protection hidden="1"/>
    </xf>
    <xf numFmtId="0" fontId="0" fillId="3" borderId="0" xfId="0" applyFill="1" applyBorder="1" applyProtection="1">
      <protection hidden="1"/>
    </xf>
    <xf numFmtId="164" fontId="0" fillId="0" borderId="17" xfId="1" applyNumberFormat="1" applyFont="1" applyBorder="1" applyProtection="1">
      <protection hidden="1"/>
    </xf>
    <xf numFmtId="0" fontId="0" fillId="3" borderId="17" xfId="0" applyFill="1" applyBorder="1" applyProtection="1">
      <protection hidden="1"/>
    </xf>
    <xf numFmtId="2" fontId="0" fillId="0" borderId="0" xfId="0" applyNumberFormat="1" applyBorder="1" applyProtection="1">
      <protection hidden="1"/>
    </xf>
    <xf numFmtId="2" fontId="0" fillId="0" borderId="17" xfId="0" applyNumberFormat="1" applyBorder="1" applyProtection="1">
      <protection hidden="1"/>
    </xf>
    <xf numFmtId="9" fontId="0" fillId="3" borderId="0" xfId="0" applyNumberFormat="1" applyFill="1" applyBorder="1" applyProtection="1">
      <protection hidden="1"/>
    </xf>
    <xf numFmtId="0" fontId="2" fillId="3" borderId="12" xfId="0" applyFont="1" applyFill="1" applyBorder="1" applyProtection="1">
      <protection hidden="1"/>
    </xf>
    <xf numFmtId="166" fontId="0" fillId="0" borderId="0" xfId="0" applyNumberFormat="1" applyFill="1" applyBorder="1" applyProtection="1">
      <protection hidden="1"/>
    </xf>
    <xf numFmtId="166" fontId="0" fillId="0" borderId="17" xfId="0" applyNumberFormat="1" applyFill="1" applyBorder="1" applyProtection="1">
      <protection hidden="1"/>
    </xf>
    <xf numFmtId="164" fontId="0" fillId="0" borderId="0" xfId="1" applyNumberFormat="1" applyFont="1" applyFill="1" applyBorder="1" applyProtection="1">
      <protection hidden="1"/>
    </xf>
    <xf numFmtId="164" fontId="0" fillId="0" borderId="17" xfId="1" applyNumberFormat="1" applyFont="1" applyFill="1" applyBorder="1" applyProtection="1">
      <protection hidden="1"/>
    </xf>
    <xf numFmtId="43" fontId="0" fillId="0" borderId="0" xfId="1" applyNumberFormat="1" applyFont="1" applyBorder="1" applyProtection="1">
      <protection hidden="1"/>
    </xf>
    <xf numFmtId="43" fontId="0" fillId="0" borderId="17" xfId="1" applyNumberFormat="1" applyFont="1" applyBorder="1" applyProtection="1">
      <protection hidden="1"/>
    </xf>
    <xf numFmtId="0" fontId="0" fillId="0" borderId="13" xfId="0" applyFill="1" applyBorder="1" applyProtection="1">
      <protection hidden="1"/>
    </xf>
    <xf numFmtId="0" fontId="0" fillId="0" borderId="1" xfId="0" applyFill="1" applyBorder="1" applyProtection="1">
      <protection hidden="1"/>
    </xf>
    <xf numFmtId="164" fontId="0" fillId="0" borderId="1" xfId="1" applyNumberFormat="1" applyFont="1" applyFill="1" applyBorder="1" applyProtection="1">
      <protection hidden="1"/>
    </xf>
    <xf numFmtId="164" fontId="0" fillId="0" borderId="19" xfId="1" applyNumberFormat="1" applyFont="1" applyFill="1" applyBorder="1" applyProtection="1">
      <protection hidden="1"/>
    </xf>
    <xf numFmtId="2" fontId="0" fillId="0" borderId="0" xfId="0" applyNumberFormat="1" applyFill="1" applyProtection="1">
      <protection hidden="1"/>
    </xf>
    <xf numFmtId="0" fontId="0" fillId="0" borderId="10" xfId="0" applyFill="1" applyBorder="1" applyProtection="1">
      <protection hidden="1"/>
    </xf>
    <xf numFmtId="164" fontId="0" fillId="0" borderId="11" xfId="1" applyNumberFormat="1" applyFont="1" applyFill="1" applyBorder="1" applyProtection="1">
      <protection hidden="1"/>
    </xf>
    <xf numFmtId="0" fontId="3" fillId="3" borderId="0" xfId="0" applyFont="1" applyFill="1" applyBorder="1" applyProtection="1">
      <protection hidden="1"/>
    </xf>
    <xf numFmtId="164" fontId="0" fillId="0" borderId="18" xfId="1" applyNumberFormat="1" applyFont="1" applyBorder="1" applyProtection="1">
      <protection hidden="1"/>
    </xf>
    <xf numFmtId="0" fontId="0" fillId="4" borderId="0" xfId="0" applyFill="1" applyBorder="1" applyProtection="1">
      <protection hidden="1"/>
    </xf>
    <xf numFmtId="0" fontId="0" fillId="4" borderId="1" xfId="0" applyFill="1" applyBorder="1" applyProtection="1">
      <protection hidden="1"/>
    </xf>
    <xf numFmtId="0" fontId="2" fillId="0" borderId="12" xfId="0" applyFont="1" applyBorder="1" applyProtection="1">
      <protection hidden="1"/>
    </xf>
    <xf numFmtId="0" fontId="0" fillId="0" borderId="12" xfId="0" applyFont="1" applyBorder="1" applyProtection="1">
      <protection hidden="1"/>
    </xf>
    <xf numFmtId="1" fontId="0" fillId="0" borderId="0" xfId="0" applyNumberFormat="1" applyBorder="1" applyProtection="1">
      <protection hidden="1"/>
    </xf>
    <xf numFmtId="2" fontId="0" fillId="0" borderId="0" xfId="0" applyNumberFormat="1" applyProtection="1">
      <protection hidden="1"/>
    </xf>
    <xf numFmtId="164" fontId="0" fillId="0" borderId="0" xfId="0" applyNumberFormat="1" applyFill="1" applyBorder="1" applyProtection="1">
      <protection hidden="1"/>
    </xf>
    <xf numFmtId="164" fontId="0" fillId="3" borderId="0" xfId="1" applyNumberFormat="1" applyFont="1" applyFill="1" applyBorder="1" applyProtection="1">
      <protection hidden="1"/>
    </xf>
    <xf numFmtId="164" fontId="0" fillId="3" borderId="17" xfId="1" applyNumberFormat="1" applyFont="1" applyFill="1" applyBorder="1" applyProtection="1">
      <protection hidden="1"/>
    </xf>
    <xf numFmtId="0" fontId="0" fillId="0" borderId="13" xfId="0" applyFont="1" applyBorder="1" applyProtection="1">
      <protection hidden="1"/>
    </xf>
    <xf numFmtId="3" fontId="2" fillId="0" borderId="1" xfId="0" applyNumberFormat="1" applyFont="1" applyBorder="1" applyProtection="1">
      <protection hidden="1"/>
    </xf>
    <xf numFmtId="3" fontId="2" fillId="0" borderId="18" xfId="0" applyNumberFormat="1" applyFont="1" applyBorder="1" applyProtection="1">
      <protection hidden="1"/>
    </xf>
    <xf numFmtId="3" fontId="0" fillId="0" borderId="0" xfId="0" applyNumberFormat="1" applyProtection="1">
      <protection hidden="1"/>
    </xf>
    <xf numFmtId="0" fontId="2" fillId="0" borderId="12" xfId="0" applyFont="1" applyFill="1" applyBorder="1" applyProtection="1">
      <protection hidden="1"/>
    </xf>
    <xf numFmtId="164" fontId="0" fillId="0" borderId="14" xfId="1" applyNumberFormat="1" applyFont="1" applyFill="1" applyBorder="1" applyProtection="1">
      <protection hidden="1"/>
    </xf>
    <xf numFmtId="164" fontId="0" fillId="0" borderId="21" xfId="1" applyNumberFormat="1" applyFont="1" applyBorder="1" applyProtection="1">
      <protection hidden="1"/>
    </xf>
    <xf numFmtId="9" fontId="4" fillId="0" borderId="0" xfId="2" applyFont="1" applyBorder="1" applyProtection="1">
      <protection hidden="1"/>
    </xf>
    <xf numFmtId="9" fontId="4" fillId="0" borderId="0" xfId="2" applyFont="1" applyProtection="1">
      <protection hidden="1"/>
    </xf>
    <xf numFmtId="164" fontId="2" fillId="0" borderId="14" xfId="1" applyNumberFormat="1" applyFont="1" applyFill="1" applyBorder="1" applyProtection="1">
      <protection hidden="1"/>
    </xf>
    <xf numFmtId="164" fontId="2" fillId="0" borderId="21" xfId="1" applyNumberFormat="1" applyFont="1" applyBorder="1" applyProtection="1">
      <protection hidden="1"/>
    </xf>
    <xf numFmtId="165" fontId="0" fillId="0" borderId="0" xfId="1" applyNumberFormat="1" applyFont="1" applyFill="1" applyBorder="1" applyProtection="1">
      <protection hidden="1"/>
    </xf>
    <xf numFmtId="165" fontId="0" fillId="0" borderId="17" xfId="1" applyNumberFormat="1" applyFont="1" applyBorder="1" applyProtection="1">
      <protection hidden="1"/>
    </xf>
    <xf numFmtId="165" fontId="0" fillId="3" borderId="17" xfId="1" applyNumberFormat="1" applyFont="1" applyFill="1" applyBorder="1" applyProtection="1">
      <protection hidden="1"/>
    </xf>
    <xf numFmtId="165" fontId="0" fillId="0" borderId="17" xfId="1" applyNumberFormat="1" applyFont="1" applyFill="1" applyBorder="1" applyProtection="1">
      <protection hidden="1"/>
    </xf>
    <xf numFmtId="164" fontId="0" fillId="0" borderId="17" xfId="0" applyNumberFormat="1" applyBorder="1" applyProtection="1">
      <protection hidden="1"/>
    </xf>
    <xf numFmtId="164" fontId="0" fillId="0" borderId="21" xfId="0" applyNumberFormat="1" applyBorder="1" applyProtection="1">
      <protection hidden="1"/>
    </xf>
    <xf numFmtId="0" fontId="3" fillId="0" borderId="12" xfId="0" applyFont="1" applyBorder="1" applyProtection="1">
      <protection hidden="1"/>
    </xf>
    <xf numFmtId="0" fontId="2" fillId="0" borderId="23" xfId="0" applyFont="1" applyBorder="1" applyProtection="1">
      <protection hidden="1"/>
    </xf>
    <xf numFmtId="164" fontId="2" fillId="0" borderId="14" xfId="1" applyNumberFormat="1" applyFont="1" applyBorder="1" applyProtection="1">
      <protection hidden="1"/>
    </xf>
    <xf numFmtId="0" fontId="2" fillId="0" borderId="0" xfId="0" applyFont="1" applyBorder="1" applyProtection="1">
      <protection hidden="1"/>
    </xf>
    <xf numFmtId="0" fontId="2" fillId="3" borderId="13" xfId="0" applyFont="1" applyFill="1" applyBorder="1" applyProtection="1">
      <protection hidden="1"/>
    </xf>
    <xf numFmtId="43" fontId="2" fillId="0" borderId="1" xfId="0" applyNumberFormat="1" applyFont="1" applyBorder="1" applyProtection="1">
      <protection hidden="1"/>
    </xf>
    <xf numFmtId="0" fontId="2" fillId="0" borderId="1" xfId="0" applyFont="1" applyBorder="1" applyProtection="1">
      <protection hidden="1"/>
    </xf>
    <xf numFmtId="43" fontId="2" fillId="0" borderId="18" xfId="0" applyNumberFormat="1" applyFont="1" applyBorder="1" applyProtection="1">
      <protection hidden="1"/>
    </xf>
    <xf numFmtId="164" fontId="0" fillId="0" borderId="0" xfId="0" applyNumberFormat="1" applyProtection="1">
      <protection hidden="1"/>
    </xf>
    <xf numFmtId="0" fontId="0" fillId="2" borderId="11" xfId="0" applyFill="1" applyBorder="1" applyProtection="1">
      <protection locked="0"/>
    </xf>
    <xf numFmtId="0" fontId="0" fillId="2" borderId="0" xfId="0" applyFill="1" applyBorder="1" applyProtection="1">
      <protection locked="0"/>
    </xf>
    <xf numFmtId="9" fontId="0" fillId="2" borderId="0" xfId="0" applyNumberFormat="1" applyFill="1" applyBorder="1" applyProtection="1">
      <protection locked="0"/>
    </xf>
    <xf numFmtId="0" fontId="0" fillId="2" borderId="1" xfId="0" applyFill="1" applyBorder="1" applyProtection="1">
      <protection locked="0"/>
    </xf>
    <xf numFmtId="164" fontId="0" fillId="6" borderId="20" xfId="1" applyNumberFormat="1" applyFont="1" applyFill="1" applyBorder="1" applyProtection="1">
      <protection hidden="1"/>
    </xf>
    <xf numFmtId="164" fontId="0" fillId="6" borderId="1" xfId="1" applyNumberFormat="1" applyFont="1" applyFill="1" applyBorder="1" applyProtection="1">
      <protection hidden="1"/>
    </xf>
    <xf numFmtId="164" fontId="0" fillId="6" borderId="19" xfId="1" applyNumberFormat="1" applyFont="1" applyFill="1" applyBorder="1" applyProtection="1">
      <protection hidden="1"/>
    </xf>
    <xf numFmtId="0" fontId="2" fillId="6" borderId="10" xfId="0" applyFont="1" applyFill="1" applyBorder="1" applyProtection="1">
      <protection hidden="1"/>
    </xf>
    <xf numFmtId="0" fontId="2" fillId="6" borderId="12" xfId="0" applyFont="1" applyFill="1" applyBorder="1" applyProtection="1">
      <protection hidden="1"/>
    </xf>
    <xf numFmtId="0" fontId="0" fillId="6" borderId="0" xfId="0" applyFill="1" applyBorder="1" applyProtection="1">
      <protection locked="0"/>
    </xf>
    <xf numFmtId="0" fontId="0" fillId="6" borderId="12" xfId="0" applyFont="1" applyFill="1" applyBorder="1" applyProtection="1">
      <protection hidden="1"/>
    </xf>
    <xf numFmtId="164" fontId="2" fillId="6" borderId="0" xfId="1" applyNumberFormat="1" applyFont="1" applyFill="1" applyBorder="1" applyProtection="1">
      <protection hidden="1"/>
    </xf>
    <xf numFmtId="164" fontId="2" fillId="6" borderId="17" xfId="1" applyNumberFormat="1" applyFont="1" applyFill="1" applyBorder="1" applyProtection="1">
      <protection hidden="1"/>
    </xf>
    <xf numFmtId="0" fontId="2" fillId="6" borderId="13" xfId="0" applyFont="1" applyFill="1" applyBorder="1" applyProtection="1">
      <protection hidden="1"/>
    </xf>
    <xf numFmtId="164" fontId="2" fillId="6" borderId="15" xfId="1" applyNumberFormat="1" applyFont="1" applyFill="1" applyBorder="1" applyProtection="1">
      <protection hidden="1"/>
    </xf>
    <xf numFmtId="3" fontId="0" fillId="6" borderId="11" xfId="0" applyNumberFormat="1" applyFill="1" applyBorder="1" applyProtection="1">
      <protection hidden="1"/>
    </xf>
    <xf numFmtId="3" fontId="0" fillId="6" borderId="16" xfId="0" applyNumberFormat="1" applyFill="1" applyBorder="1" applyProtection="1">
      <protection hidden="1"/>
    </xf>
    <xf numFmtId="3" fontId="0" fillId="6" borderId="0" xfId="0" applyNumberFormat="1" applyFill="1" applyBorder="1" applyProtection="1">
      <protection hidden="1"/>
    </xf>
    <xf numFmtId="3" fontId="0" fillId="6" borderId="17" xfId="0" applyNumberFormat="1" applyFill="1" applyBorder="1" applyProtection="1">
      <protection hidden="1"/>
    </xf>
    <xf numFmtId="0" fontId="0" fillId="6" borderId="0" xfId="0" applyFill="1" applyProtection="1">
      <protection hidden="1"/>
    </xf>
    <xf numFmtId="3" fontId="0" fillId="6" borderId="1" xfId="0" applyNumberFormat="1" applyFill="1" applyBorder="1" applyProtection="1">
      <protection hidden="1"/>
    </xf>
    <xf numFmtId="0" fontId="2" fillId="0" borderId="0" xfId="0" applyFont="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0" xfId="0" applyFont="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1" xfId="0" applyFont="1" applyBorder="1" applyAlignment="1" applyProtection="1">
      <alignment horizontal="center" vertical="center"/>
      <protection hidden="1"/>
    </xf>
    <xf numFmtId="0" fontId="2" fillId="0" borderId="8" xfId="0" applyFont="1" applyBorder="1" applyAlignment="1" applyProtection="1">
      <alignment horizontal="center" wrapText="1"/>
      <protection hidden="1"/>
    </xf>
    <xf numFmtId="0" fontId="0" fillId="5" borderId="22" xfId="0" applyFill="1" applyBorder="1" applyAlignment="1" applyProtection="1">
      <alignment horizontal="left"/>
      <protection hidden="1"/>
    </xf>
  </cellXfs>
  <cellStyles count="3">
    <cellStyle name="Comma" xfId="1" builtinId="3"/>
    <cellStyle name="Normal" xfId="0" builtinId="0"/>
    <cellStyle name="Percent" xfId="2"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466725</xdr:colOff>
      <xdr:row>19</xdr:row>
      <xdr:rowOff>28575</xdr:rowOff>
    </xdr:from>
    <xdr:to>
      <xdr:col>11</xdr:col>
      <xdr:colOff>561975</xdr:colOff>
      <xdr:row>21</xdr:row>
      <xdr:rowOff>95250</xdr:rowOff>
    </xdr:to>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10010775" y="3733800"/>
          <a:ext cx="425767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Det er kun de gule felter, der er variable.</a:t>
          </a:r>
          <a:r>
            <a:rPr lang="da-DK" sz="1100" baseline="0"/>
            <a:t> Øvrige felter er beregninger,</a:t>
          </a:r>
        </a:p>
        <a:p>
          <a:r>
            <a:rPr lang="da-DK" sz="1100" baseline="0"/>
            <a:t>der retter sig efter de gule felter.</a:t>
          </a:r>
          <a:endParaRPr lang="da-DK" sz="1100"/>
        </a:p>
      </xdr:txBody>
    </xdr:sp>
    <xdr:clientData/>
  </xdr:twoCellAnchor>
  <xdr:oneCellAnchor>
    <xdr:from>
      <xdr:col>7</xdr:col>
      <xdr:colOff>756231</xdr:colOff>
      <xdr:row>26</xdr:row>
      <xdr:rowOff>131209</xdr:rowOff>
    </xdr:from>
    <xdr:ext cx="939219" cy="202165"/>
    <xdr:sp macro="" textlink="">
      <xdr:nvSpPr>
        <xdr:cNvPr id="3" name="Tekstfelt 2">
          <a:extLst>
            <a:ext uri="{FF2B5EF4-FFF2-40B4-BE49-F238E27FC236}">
              <a16:creationId xmlns:a16="http://schemas.microsoft.com/office/drawing/2014/main" id="{00000000-0008-0000-0000-000003000000}"/>
            </a:ext>
          </a:extLst>
        </xdr:cNvPr>
        <xdr:cNvSpPr txBox="1"/>
      </xdr:nvSpPr>
      <xdr:spPr>
        <a:xfrm flipH="1" flipV="1">
          <a:off x="10300281" y="5188984"/>
          <a:ext cx="939219" cy="202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a-DK" sz="1100"/>
        </a:p>
      </xdr:txBody>
    </xdr:sp>
    <xdr:clientData/>
  </xdr:oneCellAnchor>
  <xdr:twoCellAnchor>
    <xdr:from>
      <xdr:col>7</xdr:col>
      <xdr:colOff>533400</xdr:colOff>
      <xdr:row>25</xdr:row>
      <xdr:rowOff>38099</xdr:rowOff>
    </xdr:from>
    <xdr:to>
      <xdr:col>11</xdr:col>
      <xdr:colOff>552450</xdr:colOff>
      <xdr:row>27</xdr:row>
      <xdr:rowOff>142874</xdr:rowOff>
    </xdr:to>
    <xdr:sp macro="" textlink="">
      <xdr:nvSpPr>
        <xdr:cNvPr id="4" name="Tekstfelt 3">
          <a:extLst>
            <a:ext uri="{FF2B5EF4-FFF2-40B4-BE49-F238E27FC236}">
              <a16:creationId xmlns:a16="http://schemas.microsoft.com/office/drawing/2014/main" id="{00000000-0008-0000-0000-000004000000}"/>
            </a:ext>
          </a:extLst>
        </xdr:cNvPr>
        <xdr:cNvSpPr txBox="1"/>
      </xdr:nvSpPr>
      <xdr:spPr>
        <a:xfrm>
          <a:off x="10077450" y="4905374"/>
          <a:ext cx="41814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her er resultatet når du holder ferie og hellig dage og arbejder i de </a:t>
          </a:r>
        </a:p>
        <a:p>
          <a:r>
            <a:rPr lang="da-DK" sz="1100"/>
            <a:t>timer, som du har angivet</a:t>
          </a:r>
        </a:p>
      </xdr:txBody>
    </xdr:sp>
    <xdr:clientData/>
  </xdr:twoCellAnchor>
  <xdr:twoCellAnchor>
    <xdr:from>
      <xdr:col>7</xdr:col>
      <xdr:colOff>504825</xdr:colOff>
      <xdr:row>33</xdr:row>
      <xdr:rowOff>19050</xdr:rowOff>
    </xdr:from>
    <xdr:to>
      <xdr:col>11</xdr:col>
      <xdr:colOff>400050</xdr:colOff>
      <xdr:row>42</xdr:row>
      <xdr:rowOff>28575</xdr:rowOff>
    </xdr:to>
    <xdr:sp macro="" textlink="">
      <xdr:nvSpPr>
        <xdr:cNvPr id="5" name="Tekstfelt 4">
          <a:extLst>
            <a:ext uri="{FF2B5EF4-FFF2-40B4-BE49-F238E27FC236}">
              <a16:creationId xmlns:a16="http://schemas.microsoft.com/office/drawing/2014/main" id="{00000000-0008-0000-0000-000005000000}"/>
            </a:ext>
          </a:extLst>
        </xdr:cNvPr>
        <xdr:cNvSpPr txBox="1"/>
      </xdr:nvSpPr>
      <xdr:spPr>
        <a:xfrm>
          <a:off x="10048875" y="6429375"/>
          <a:ext cx="4057650"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aseline="0"/>
            <a:t> Her lægger du selv bil til.</a:t>
          </a:r>
        </a:p>
        <a:p>
          <a:endParaRPr lang="da-DK" sz="1100" baseline="0"/>
        </a:p>
        <a:p>
          <a:r>
            <a:rPr lang="da-DK" sz="1100" baseline="0"/>
            <a:t>Der kommer en direkte lønstigning pr kørt time og nogle skattemæssige fordele.</a:t>
          </a:r>
        </a:p>
        <a:p>
          <a:r>
            <a:rPr lang="da-DK" sz="1100" baseline="0"/>
            <a:t>Hvis familien ønsker 2 biler i forvejen, bliver fordelene større. Som tommelfingerregel kan man sige, at man kan holde ny ekstra bil til samme beløb, som en gammel bil ville koste. udover økonomisk fordel, er der også en fordel idet en stor del af den tidm man ville bruge til transport mellem hjem og arbejdsplads falder bort</a:t>
          </a:r>
          <a:endParaRPr lang="da-DK" sz="1100"/>
        </a:p>
      </xdr:txBody>
    </xdr:sp>
    <xdr:clientData/>
  </xdr:twoCellAnchor>
  <xdr:twoCellAnchor>
    <xdr:from>
      <xdr:col>7</xdr:col>
      <xdr:colOff>695325</xdr:colOff>
      <xdr:row>67</xdr:row>
      <xdr:rowOff>28576</xdr:rowOff>
    </xdr:from>
    <xdr:to>
      <xdr:col>11</xdr:col>
      <xdr:colOff>561975</xdr:colOff>
      <xdr:row>81</xdr:row>
      <xdr:rowOff>47626</xdr:rowOff>
    </xdr:to>
    <xdr:sp macro="" textlink="">
      <xdr:nvSpPr>
        <xdr:cNvPr id="6" name="Tekstfelt 5">
          <a:extLst>
            <a:ext uri="{FF2B5EF4-FFF2-40B4-BE49-F238E27FC236}">
              <a16:creationId xmlns:a16="http://schemas.microsoft.com/office/drawing/2014/main" id="{00000000-0008-0000-0000-000006000000}"/>
            </a:ext>
          </a:extLst>
        </xdr:cNvPr>
        <xdr:cNvSpPr txBox="1"/>
      </xdr:nvSpPr>
      <xdr:spPr>
        <a:xfrm>
          <a:off x="10239375" y="12954001"/>
          <a:ext cx="4029075"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Underleverandør med eget CVR</a:t>
          </a:r>
        </a:p>
        <a:p>
          <a:r>
            <a:rPr lang="da-DK" sz="1100"/>
            <a:t>Kørelæreren gøres i princippet til "selvstændig" det er dog en selvstændig</a:t>
          </a:r>
          <a:r>
            <a:rPr lang="da-DK" sz="1100" baseline="0"/>
            <a:t>, der får leveret kunder fra køreskolen.</a:t>
          </a:r>
        </a:p>
        <a:p>
          <a:r>
            <a:rPr lang="da-DK" sz="1100" baseline="0"/>
            <a:t>Sygdom er for egen regning. Kørelæreren kan selv forsikre sig herimod.</a:t>
          </a:r>
        </a:p>
        <a:p>
          <a:r>
            <a:rPr lang="da-DK" sz="1100"/>
            <a:t>Merindtjeningen fremkommer ved, at kørelæreren kan opnå et større skattefradrag for de første 20.000 km.</a:t>
          </a:r>
          <a:r>
            <a:rPr lang="da-DK" sz="1100" baseline="0"/>
            <a:t> Der kommer ekstra udgifter til revisor/bogholder.'</a:t>
          </a:r>
        </a:p>
        <a:p>
          <a:r>
            <a:rPr lang="da-DK" sz="1100" baseline="0"/>
            <a:t>Som det fremgår af beregningerne kan det for de fleste godt betale sig.</a:t>
          </a:r>
          <a:endParaRPr lang="da-DK" sz="1100"/>
        </a:p>
      </xdr:txBody>
    </xdr:sp>
    <xdr:clientData/>
  </xdr:twoCellAnchor>
  <xdr:twoCellAnchor>
    <xdr:from>
      <xdr:col>7</xdr:col>
      <xdr:colOff>628650</xdr:colOff>
      <xdr:row>106</xdr:row>
      <xdr:rowOff>0</xdr:rowOff>
    </xdr:from>
    <xdr:to>
      <xdr:col>11</xdr:col>
      <xdr:colOff>438150</xdr:colOff>
      <xdr:row>112</xdr:row>
      <xdr:rowOff>28575</xdr:rowOff>
    </xdr:to>
    <xdr:sp macro="" textlink="">
      <xdr:nvSpPr>
        <xdr:cNvPr id="7" name="Tekstfelt 6">
          <a:extLst>
            <a:ext uri="{FF2B5EF4-FFF2-40B4-BE49-F238E27FC236}">
              <a16:creationId xmlns:a16="http://schemas.microsoft.com/office/drawing/2014/main" id="{00000000-0008-0000-0000-000007000000}"/>
            </a:ext>
          </a:extLst>
        </xdr:cNvPr>
        <xdr:cNvSpPr txBox="1"/>
      </xdr:nvSpPr>
      <xdr:spPr>
        <a:xfrm>
          <a:off x="10172700" y="19650075"/>
          <a:ext cx="397192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den</a:t>
          </a:r>
          <a:r>
            <a:rPr lang="da-DK" sz="1100" baseline="0"/>
            <a:t> selvstændige køreskole er karakteriseret ved, at en stor del af indtjeningen medgår til dækning af faste omkostninger såsom husleje , varme  m.v. </a:t>
          </a:r>
        </a:p>
        <a:p>
          <a:r>
            <a:rPr lang="da-DK" sz="1100" baseline="0"/>
            <a:t>Resultatet ved selvstændughed, bliver derfor bedst, hvis man arbejder mange timer.</a:t>
          </a:r>
          <a:endParaRPr lang="da-DK"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tabSelected="1" topLeftCell="B1" zoomScale="110" zoomScaleNormal="110" workbookViewId="0">
      <pane ySplit="12" topLeftCell="A13" activePane="bottomLeft" state="frozen"/>
      <selection activeCell="B1" sqref="B1"/>
      <selection pane="bottomLeft" activeCell="J14" sqref="J14"/>
    </sheetView>
  </sheetViews>
  <sheetFormatPr defaultRowHeight="15" x14ac:dyDescent="0.25"/>
  <cols>
    <col min="1" max="1" width="0" style="2" hidden="1" customWidth="1"/>
    <col min="2" max="2" width="6" style="2" customWidth="1"/>
    <col min="3" max="3" width="45.5703125" style="2" customWidth="1"/>
    <col min="4" max="4" width="30.85546875" style="2" customWidth="1"/>
    <col min="5" max="5" width="20.28515625" style="2" customWidth="1"/>
    <col min="6" max="6" width="17.7109375" style="2" customWidth="1"/>
    <col min="7" max="7" width="22.7109375" style="2" customWidth="1"/>
    <col min="8" max="9" width="14.5703125" style="2" customWidth="1"/>
    <col min="10" max="10" width="21" style="2" customWidth="1"/>
    <col min="11" max="11" width="12.28515625" style="2" customWidth="1"/>
    <col min="12" max="16384" width="9.140625" style="2"/>
  </cols>
  <sheetData>
    <row r="1" spans="3:12" ht="18.75" x14ac:dyDescent="0.3">
      <c r="C1" s="1" t="s">
        <v>131</v>
      </c>
    </row>
    <row r="2" spans="3:12" x14ac:dyDescent="0.25">
      <c r="C2" s="3" t="s">
        <v>132</v>
      </c>
      <c r="D2" s="3"/>
      <c r="E2" s="3"/>
    </row>
    <row r="3" spans="3:12" ht="15.75" thickBot="1" x14ac:dyDescent="0.3"/>
    <row r="4" spans="3:12" x14ac:dyDescent="0.25">
      <c r="C4" s="4"/>
      <c r="D4" s="5"/>
      <c r="E4" s="5"/>
      <c r="F4" s="5"/>
      <c r="G4" s="5"/>
      <c r="H4" s="5"/>
      <c r="I4" s="5"/>
      <c r="J4" s="5"/>
      <c r="K4" s="5"/>
      <c r="L4" s="6"/>
    </row>
    <row r="5" spans="3:12" x14ac:dyDescent="0.25">
      <c r="C5" s="7"/>
      <c r="D5" s="8"/>
      <c r="E5" s="8"/>
      <c r="F5" s="9" t="s">
        <v>108</v>
      </c>
      <c r="G5" s="8"/>
      <c r="H5" s="10" t="s">
        <v>106</v>
      </c>
      <c r="I5" s="10" t="s">
        <v>9</v>
      </c>
      <c r="J5" s="10" t="s">
        <v>107</v>
      </c>
      <c r="K5" s="10" t="s">
        <v>11</v>
      </c>
      <c r="L5" s="11"/>
    </row>
    <row r="6" spans="3:12" x14ac:dyDescent="0.25">
      <c r="C6" s="7" t="s">
        <v>105</v>
      </c>
      <c r="D6" s="118">
        <v>37</v>
      </c>
      <c r="E6" s="8"/>
      <c r="F6" s="142" t="s">
        <v>37</v>
      </c>
      <c r="G6" s="142"/>
      <c r="H6" s="12">
        <f>+E29</f>
        <v>355387.5</v>
      </c>
      <c r="I6" s="12">
        <f>+E62</f>
        <v>362884.3508704023</v>
      </c>
      <c r="J6" s="13">
        <f>+E102</f>
        <v>445836.94918688806</v>
      </c>
      <c r="K6" s="12">
        <f>+E154</f>
        <v>356882.71790128318</v>
      </c>
      <c r="L6" s="11"/>
    </row>
    <row r="7" spans="3:12" x14ac:dyDescent="0.25">
      <c r="C7" s="7"/>
      <c r="D7" s="8"/>
      <c r="E7" s="8"/>
      <c r="F7" s="142" t="s">
        <v>103</v>
      </c>
      <c r="G7" s="142"/>
      <c r="H7" s="14">
        <f>+H6/($E$41*$D$6)</f>
        <v>219.375</v>
      </c>
      <c r="I7" s="14">
        <f>+I6/($E$41*$D$6)</f>
        <v>224.00268572247055</v>
      </c>
      <c r="J7" s="15">
        <f>+J6/($E$41*$D$6)</f>
        <v>275.20799332523956</v>
      </c>
      <c r="K7" s="14">
        <f>+K6/($E$41*$D$6)</f>
        <v>220.29797401313778</v>
      </c>
      <c r="L7" s="11"/>
    </row>
    <row r="8" spans="3:12" x14ac:dyDescent="0.25">
      <c r="C8" s="7"/>
      <c r="D8" s="8"/>
      <c r="E8" s="8"/>
      <c r="F8" s="8"/>
      <c r="G8" s="8"/>
      <c r="H8" s="8"/>
      <c r="I8" s="16"/>
      <c r="J8" s="16"/>
      <c r="K8" s="16"/>
      <c r="L8" s="11"/>
    </row>
    <row r="9" spans="3:12" x14ac:dyDescent="0.25">
      <c r="C9" s="7"/>
      <c r="D9" s="8"/>
      <c r="E9" s="8"/>
      <c r="F9" s="9" t="s">
        <v>109</v>
      </c>
      <c r="G9" s="8"/>
      <c r="H9" s="10" t="s">
        <v>106</v>
      </c>
      <c r="I9" s="10" t="s">
        <v>9</v>
      </c>
      <c r="J9" s="10" t="s">
        <v>107</v>
      </c>
      <c r="K9" s="10" t="s">
        <v>11</v>
      </c>
      <c r="L9" s="11"/>
    </row>
    <row r="10" spans="3:12" x14ac:dyDescent="0.25">
      <c r="C10" s="7"/>
      <c r="D10" s="8"/>
      <c r="E10" s="8"/>
      <c r="F10" s="142" t="s">
        <v>37</v>
      </c>
      <c r="G10" s="142"/>
      <c r="H10" s="14">
        <f>+G29</f>
        <v>355387.5</v>
      </c>
      <c r="I10" s="14">
        <f>+G62</f>
        <v>362884.3508704023</v>
      </c>
      <c r="J10" s="15">
        <f>+G102</f>
        <v>448479.37316736783</v>
      </c>
      <c r="K10" s="14">
        <f>+G154</f>
        <v>357570.63377365487</v>
      </c>
      <c r="L10" s="11"/>
    </row>
    <row r="11" spans="3:12" x14ac:dyDescent="0.25">
      <c r="C11" s="7"/>
      <c r="D11" s="8"/>
      <c r="E11" s="8"/>
      <c r="F11" s="142" t="s">
        <v>103</v>
      </c>
      <c r="G11" s="142"/>
      <c r="H11" s="17">
        <f>+H10/$E$39</f>
        <v>219.375</v>
      </c>
      <c r="I11" s="17">
        <f>+I10/$E$39</f>
        <v>224.00268572247055</v>
      </c>
      <c r="J11" s="18">
        <f>+J10/$E$39</f>
        <v>276.83911923911592</v>
      </c>
      <c r="K11" s="17">
        <f>+K10/$E$39</f>
        <v>220.72261344052771</v>
      </c>
      <c r="L11" s="11"/>
    </row>
    <row r="12" spans="3:12" ht="15.75" thickBot="1" x14ac:dyDescent="0.3">
      <c r="C12" s="19"/>
      <c r="D12" s="20"/>
      <c r="E12" s="20"/>
      <c r="F12" s="20"/>
      <c r="G12" s="20"/>
      <c r="H12" s="20"/>
      <c r="I12" s="20"/>
      <c r="J12" s="20"/>
      <c r="K12" s="20"/>
      <c r="L12" s="21"/>
    </row>
    <row r="13" spans="3:12" x14ac:dyDescent="0.25">
      <c r="C13" s="22"/>
      <c r="D13" s="22"/>
    </row>
    <row r="16" spans="3:12" x14ac:dyDescent="0.25">
      <c r="D16" s="3" t="s">
        <v>134</v>
      </c>
      <c r="E16" s="3"/>
    </row>
    <row r="18" spans="3:7" ht="15.75" x14ac:dyDescent="0.25">
      <c r="C18" s="23" t="s">
        <v>18</v>
      </c>
      <c r="E18" s="136" t="s">
        <v>99</v>
      </c>
      <c r="F18" s="136" t="s">
        <v>13</v>
      </c>
      <c r="G18" s="138" t="s">
        <v>110</v>
      </c>
    </row>
    <row r="19" spans="3:7" ht="15.75" thickBot="1" x14ac:dyDescent="0.3">
      <c r="E19" s="140"/>
      <c r="F19" s="140"/>
      <c r="G19" s="141"/>
    </row>
    <row r="20" spans="3:7" x14ac:dyDescent="0.25">
      <c r="C20" s="24" t="s">
        <v>133</v>
      </c>
      <c r="D20" s="25"/>
      <c r="E20" s="26">
        <v>195</v>
      </c>
      <c r="F20" s="115"/>
      <c r="G20" s="27">
        <f>+IF(ISBLANK(F20),E20,F20)</f>
        <v>195</v>
      </c>
    </row>
    <row r="21" spans="3:7" x14ac:dyDescent="0.25">
      <c r="C21" s="28" t="s">
        <v>0</v>
      </c>
      <c r="D21" s="29"/>
      <c r="E21" s="30">
        <v>0.125</v>
      </c>
      <c r="F21" s="29"/>
      <c r="G21" s="31">
        <f t="shared" ref="G21:G22" si="0">+IF(ISBLANK(F21),E21,F21)</f>
        <v>0.125</v>
      </c>
    </row>
    <row r="22" spans="3:7" x14ac:dyDescent="0.25">
      <c r="C22" s="28" t="s">
        <v>14</v>
      </c>
      <c r="D22" s="29"/>
      <c r="E22" s="32">
        <f>1620/37*D6</f>
        <v>1620</v>
      </c>
      <c r="F22" s="29"/>
      <c r="G22" s="33">
        <f t="shared" si="0"/>
        <v>1620</v>
      </c>
    </row>
    <row r="23" spans="3:7" ht="15.75" thickBot="1" x14ac:dyDescent="0.3">
      <c r="C23" s="34"/>
      <c r="D23" s="35"/>
      <c r="E23" s="36"/>
      <c r="F23" s="35"/>
      <c r="G23" s="37"/>
    </row>
    <row r="24" spans="3:7" x14ac:dyDescent="0.25">
      <c r="E24" s="38"/>
    </row>
    <row r="25" spans="3:7" ht="15.75" thickBot="1" x14ac:dyDescent="0.3">
      <c r="C25" s="2" t="s">
        <v>15</v>
      </c>
      <c r="E25" s="38"/>
    </row>
    <row r="26" spans="3:7" x14ac:dyDescent="0.25">
      <c r="C26" s="39" t="s">
        <v>16</v>
      </c>
      <c r="D26" s="40"/>
      <c r="E26" s="41">
        <f>+E20</f>
        <v>195</v>
      </c>
      <c r="F26" s="42"/>
      <c r="G26" s="43">
        <f>+G20</f>
        <v>195</v>
      </c>
    </row>
    <row r="27" spans="3:7" x14ac:dyDescent="0.25">
      <c r="C27" s="44" t="s">
        <v>68</v>
      </c>
      <c r="D27" s="45"/>
      <c r="E27" s="46">
        <f>+E21*E20</f>
        <v>24.375</v>
      </c>
      <c r="F27" s="47"/>
      <c r="G27" s="48">
        <f t="shared" ref="G27" si="1">+IF(ISBLANK(F27),E27,F27)</f>
        <v>24.375</v>
      </c>
    </row>
    <row r="28" spans="3:7" x14ac:dyDescent="0.25">
      <c r="C28" s="44" t="s">
        <v>17</v>
      </c>
      <c r="D28" s="45"/>
      <c r="E28" s="46">
        <f>SUM(E26:E27)</f>
        <v>219.375</v>
      </c>
      <c r="F28" s="47"/>
      <c r="G28" s="49">
        <f>SUM(G26:G27)</f>
        <v>219.375</v>
      </c>
    </row>
    <row r="29" spans="3:7" ht="15.75" thickBot="1" x14ac:dyDescent="0.3">
      <c r="C29" s="50" t="s">
        <v>111</v>
      </c>
      <c r="D29" s="51"/>
      <c r="E29" s="52">
        <f>+E22*E28</f>
        <v>355387.5</v>
      </c>
      <c r="F29" s="53"/>
      <c r="G29" s="54">
        <f>+G22*G28</f>
        <v>355387.5</v>
      </c>
    </row>
    <row r="32" spans="3:7" ht="15.75" x14ac:dyDescent="0.25">
      <c r="C32" s="23" t="s">
        <v>19</v>
      </c>
      <c r="E32" s="136" t="s">
        <v>99</v>
      </c>
      <c r="F32" s="136" t="s">
        <v>13</v>
      </c>
      <c r="G32" s="138" t="s">
        <v>110</v>
      </c>
    </row>
    <row r="33" spans="3:11" ht="15" customHeight="1" thickBot="1" x14ac:dyDescent="0.3">
      <c r="E33" s="140"/>
      <c r="F33" s="140"/>
      <c r="G33" s="141"/>
    </row>
    <row r="34" spans="3:11" x14ac:dyDescent="0.25">
      <c r="C34" s="24"/>
      <c r="D34" s="25"/>
      <c r="E34" s="25"/>
      <c r="F34" s="25"/>
      <c r="G34" s="27"/>
    </row>
    <row r="35" spans="3:11" x14ac:dyDescent="0.25">
      <c r="C35" s="55" t="s">
        <v>112</v>
      </c>
      <c r="D35" s="56"/>
      <c r="E35" s="56">
        <v>5</v>
      </c>
      <c r="F35" s="116"/>
      <c r="G35" s="31">
        <f t="shared" ref="G35:G36" si="2">+IF(ISBLANK(F35),E35,F35)</f>
        <v>5</v>
      </c>
    </row>
    <row r="36" spans="3:11" x14ac:dyDescent="0.25">
      <c r="C36" s="57" t="s">
        <v>113</v>
      </c>
      <c r="D36" s="58"/>
      <c r="E36" s="58">
        <v>6</v>
      </c>
      <c r="F36" s="116"/>
      <c r="G36" s="31">
        <f t="shared" si="2"/>
        <v>6</v>
      </c>
    </row>
    <row r="37" spans="3:11" x14ac:dyDescent="0.25">
      <c r="C37" s="57"/>
      <c r="D37" s="58"/>
      <c r="E37" s="58"/>
      <c r="F37" s="58"/>
      <c r="G37" s="31"/>
    </row>
    <row r="38" spans="3:11" x14ac:dyDescent="0.25">
      <c r="C38" s="57" t="s">
        <v>69</v>
      </c>
      <c r="D38" s="58"/>
      <c r="E38" s="58">
        <v>24</v>
      </c>
      <c r="F38" s="116"/>
      <c r="G38" s="31">
        <f>+IF(ISBLANK(F38),E38,F38)</f>
        <v>24</v>
      </c>
    </row>
    <row r="39" spans="3:11" x14ac:dyDescent="0.25">
      <c r="C39" s="57" t="s">
        <v>10</v>
      </c>
      <c r="D39" s="29"/>
      <c r="E39" s="32">
        <f>+E22</f>
        <v>1620</v>
      </c>
      <c r="F39" s="29"/>
      <c r="G39" s="59">
        <f>+G22</f>
        <v>1620</v>
      </c>
    </row>
    <row r="40" spans="3:11" x14ac:dyDescent="0.25">
      <c r="C40" s="57" t="s">
        <v>20</v>
      </c>
      <c r="D40" s="29"/>
      <c r="E40" s="58">
        <v>1.93</v>
      </c>
      <c r="F40" s="58"/>
      <c r="G40" s="60">
        <v>1.99</v>
      </c>
      <c r="I40" s="22"/>
      <c r="J40" s="22"/>
      <c r="K40" s="22"/>
    </row>
    <row r="41" spans="3:11" x14ac:dyDescent="0.25">
      <c r="C41" s="57" t="s">
        <v>114</v>
      </c>
      <c r="D41" s="29"/>
      <c r="E41" s="61">
        <f>1620/37</f>
        <v>43.783783783783782</v>
      </c>
      <c r="F41" s="58"/>
      <c r="G41" s="62">
        <f>1620/37</f>
        <v>43.783783783783782</v>
      </c>
      <c r="I41" s="22"/>
      <c r="J41" s="22"/>
      <c r="K41" s="22"/>
    </row>
    <row r="42" spans="3:11" x14ac:dyDescent="0.25">
      <c r="C42" s="28" t="s">
        <v>115</v>
      </c>
      <c r="D42" s="29"/>
      <c r="E42" s="63">
        <v>0.45</v>
      </c>
      <c r="F42" s="117"/>
      <c r="G42" s="31">
        <f>+IF(ISBLANK(F42),E42,F42)</f>
        <v>0.45</v>
      </c>
      <c r="I42" s="22"/>
      <c r="J42" s="22"/>
      <c r="K42" s="22"/>
    </row>
    <row r="43" spans="3:11" x14ac:dyDescent="0.25">
      <c r="C43" s="64" t="s">
        <v>6</v>
      </c>
      <c r="D43" s="29"/>
      <c r="E43" s="29"/>
      <c r="F43" s="29"/>
      <c r="G43" s="31"/>
      <c r="I43" s="22"/>
      <c r="J43" s="22"/>
      <c r="K43" s="22"/>
    </row>
    <row r="44" spans="3:11" x14ac:dyDescent="0.25">
      <c r="C44" s="57" t="s">
        <v>70</v>
      </c>
      <c r="D44" s="29"/>
      <c r="E44" s="29">
        <v>19</v>
      </c>
      <c r="F44" s="116"/>
      <c r="G44" s="31">
        <f t="shared" ref="G44:G46" si="3">+IF(ISBLANK(F44),E44,F44)</f>
        <v>19</v>
      </c>
      <c r="I44" s="22"/>
      <c r="J44" s="22"/>
      <c r="K44" s="22"/>
    </row>
    <row r="45" spans="3:11" x14ac:dyDescent="0.25">
      <c r="C45" s="57" t="s">
        <v>95</v>
      </c>
      <c r="D45" s="29"/>
      <c r="E45" s="29">
        <v>2.8</v>
      </c>
      <c r="F45" s="116"/>
      <c r="G45" s="31">
        <f t="shared" si="3"/>
        <v>2.8</v>
      </c>
      <c r="I45" s="22"/>
      <c r="J45" s="22"/>
      <c r="K45" s="22"/>
    </row>
    <row r="46" spans="3:11" x14ac:dyDescent="0.25">
      <c r="C46" s="57" t="s">
        <v>96</v>
      </c>
      <c r="D46" s="29"/>
      <c r="E46" s="56">
        <v>5</v>
      </c>
      <c r="F46" s="116"/>
      <c r="G46" s="31">
        <f t="shared" si="3"/>
        <v>5</v>
      </c>
      <c r="I46" s="22"/>
      <c r="J46" s="22"/>
      <c r="K46" s="22"/>
    </row>
    <row r="47" spans="3:11" x14ac:dyDescent="0.25">
      <c r="C47" s="55" t="s">
        <v>21</v>
      </c>
      <c r="D47" s="56"/>
      <c r="E47" s="65">
        <f>+(3/E45)+(3/E46)</f>
        <v>1.6714285714285713</v>
      </c>
      <c r="F47" s="56"/>
      <c r="G47" s="66">
        <f>+(3/G45)+(3/G46)</f>
        <v>1.6714285714285713</v>
      </c>
      <c r="I47" s="22"/>
      <c r="J47" s="22"/>
      <c r="K47" s="22"/>
    </row>
    <row r="48" spans="3:11" x14ac:dyDescent="0.25">
      <c r="C48" s="57" t="s">
        <v>22</v>
      </c>
      <c r="D48" s="29"/>
      <c r="E48" s="32">
        <f>+E39-E41*E36</f>
        <v>1357.2972972972973</v>
      </c>
      <c r="F48" s="29"/>
      <c r="G48" s="59">
        <f>+G39-G41*G36</f>
        <v>1357.2972972972973</v>
      </c>
      <c r="H48" s="22"/>
      <c r="I48" s="22"/>
      <c r="J48" s="22"/>
      <c r="K48" s="22"/>
    </row>
    <row r="49" spans="3:11" x14ac:dyDescent="0.25">
      <c r="C49" s="57" t="s">
        <v>23</v>
      </c>
      <c r="D49" s="29"/>
      <c r="E49" s="32">
        <f>+E48/(E44+E47)</f>
        <v>65.660546517491923</v>
      </c>
      <c r="F49" s="29"/>
      <c r="G49" s="59">
        <f>+G48/(G44+G47)</f>
        <v>65.660546517491923</v>
      </c>
      <c r="I49" s="22"/>
      <c r="J49" s="22"/>
      <c r="K49" s="22"/>
    </row>
    <row r="50" spans="3:11" x14ac:dyDescent="0.25">
      <c r="C50" s="57" t="s">
        <v>116</v>
      </c>
      <c r="D50" s="29"/>
      <c r="E50" s="32">
        <f>+E49*E38*E44</f>
        <v>29941.209211976318</v>
      </c>
      <c r="F50" s="29"/>
      <c r="G50" s="59">
        <f>+G49*G38*G44</f>
        <v>29941.209211976318</v>
      </c>
      <c r="I50" s="22"/>
      <c r="J50" s="22"/>
      <c r="K50" s="22"/>
    </row>
    <row r="51" spans="3:11" x14ac:dyDescent="0.25">
      <c r="C51" s="55" t="s">
        <v>24</v>
      </c>
      <c r="D51" s="56"/>
      <c r="E51" s="67">
        <f>+E44*E49</f>
        <v>1247.5503838323466</v>
      </c>
      <c r="F51" s="29"/>
      <c r="G51" s="68">
        <f>+G44*G49</f>
        <v>1247.5503838323466</v>
      </c>
      <c r="I51" s="22"/>
      <c r="J51" s="22"/>
      <c r="K51" s="22"/>
    </row>
    <row r="52" spans="3:11" x14ac:dyDescent="0.25">
      <c r="C52" s="57" t="s">
        <v>25</v>
      </c>
      <c r="D52" s="29"/>
      <c r="E52" s="32">
        <f>E51*E35</f>
        <v>6237.751919161733</v>
      </c>
      <c r="F52" s="29"/>
      <c r="G52" s="59">
        <f>G51*G35</f>
        <v>6237.751919161733</v>
      </c>
      <c r="I52" s="22"/>
      <c r="J52" s="22"/>
      <c r="K52" s="22"/>
    </row>
    <row r="53" spans="3:11" x14ac:dyDescent="0.25">
      <c r="C53" s="57" t="s">
        <v>71</v>
      </c>
      <c r="D53" s="29"/>
      <c r="E53" s="69">
        <f>+$D$206</f>
        <v>2.3128806130692594E-2</v>
      </c>
      <c r="F53" s="29"/>
      <c r="G53" s="70">
        <f>IF(G206&lt;&gt;D206,G206,D206)</f>
        <v>2.3128806130692594E-2</v>
      </c>
      <c r="I53" s="22"/>
      <c r="J53" s="22"/>
      <c r="K53" s="22"/>
    </row>
    <row r="54" spans="3:11" x14ac:dyDescent="0.25">
      <c r="C54" s="57" t="s">
        <v>117</v>
      </c>
      <c r="D54" s="29"/>
      <c r="E54" s="32">
        <f>E53*E50</f>
        <v>692.50442318230739</v>
      </c>
      <c r="F54" s="29"/>
      <c r="G54" s="59">
        <f>G53*G50</f>
        <v>692.50442318230739</v>
      </c>
      <c r="I54" s="22"/>
      <c r="J54" s="22"/>
      <c r="K54" s="22"/>
    </row>
    <row r="55" spans="3:11" x14ac:dyDescent="0.25">
      <c r="C55" s="71" t="s">
        <v>120</v>
      </c>
      <c r="D55" s="72"/>
      <c r="E55" s="73">
        <f>+E54/(1-E42)</f>
        <v>1259.0989512405588</v>
      </c>
      <c r="F55" s="72"/>
      <c r="G55" s="74">
        <f>+G54/(1-G42)</f>
        <v>1259.0989512405588</v>
      </c>
      <c r="I55" s="56"/>
      <c r="J55" s="22"/>
      <c r="K55" s="22"/>
    </row>
    <row r="56" spans="3:11" x14ac:dyDescent="0.25">
      <c r="C56" s="22"/>
      <c r="D56" s="22"/>
      <c r="E56" s="75"/>
      <c r="F56" s="22"/>
      <c r="G56" s="31"/>
      <c r="I56" s="22"/>
      <c r="J56" s="22"/>
      <c r="K56" s="22"/>
    </row>
    <row r="57" spans="3:11" x14ac:dyDescent="0.25">
      <c r="C57" s="22"/>
      <c r="D57" s="22"/>
      <c r="E57" s="22"/>
      <c r="F57" s="22"/>
      <c r="G57" s="31"/>
    </row>
    <row r="58" spans="3:11" x14ac:dyDescent="0.25">
      <c r="C58" s="22" t="s">
        <v>15</v>
      </c>
      <c r="D58" s="22"/>
      <c r="E58" s="22"/>
      <c r="F58" s="22"/>
      <c r="G58" s="31"/>
    </row>
    <row r="59" spans="3:11" x14ac:dyDescent="0.25">
      <c r="C59" s="39" t="s">
        <v>118</v>
      </c>
      <c r="D59" s="42"/>
      <c r="E59" s="41">
        <f>+E29</f>
        <v>355387.5</v>
      </c>
      <c r="F59" s="42"/>
      <c r="G59" s="119">
        <f>+G29</f>
        <v>355387.5</v>
      </c>
    </row>
    <row r="60" spans="3:11" x14ac:dyDescent="0.25">
      <c r="C60" s="44" t="s">
        <v>27</v>
      </c>
      <c r="D60" s="47"/>
      <c r="E60" s="46">
        <f>+E52</f>
        <v>6237.751919161733</v>
      </c>
      <c r="F60" s="47"/>
      <c r="G60" s="49">
        <f>+G52</f>
        <v>6237.751919161733</v>
      </c>
    </row>
    <row r="61" spans="3:11" x14ac:dyDescent="0.25">
      <c r="C61" s="44" t="s">
        <v>119</v>
      </c>
      <c r="D61" s="47"/>
      <c r="E61" s="120">
        <f>+E55</f>
        <v>1259.0989512405588</v>
      </c>
      <c r="F61" s="47"/>
      <c r="G61" s="121">
        <f>+G55</f>
        <v>1259.0989512405588</v>
      </c>
    </row>
    <row r="62" spans="3:11" ht="15.75" thickBot="1" x14ac:dyDescent="0.3">
      <c r="C62" s="50"/>
      <c r="D62" s="53"/>
      <c r="E62" s="120">
        <f>SUM(E59:E61)</f>
        <v>362884.3508704023</v>
      </c>
      <c r="F62" s="53"/>
      <c r="G62" s="54">
        <f>SUM(G59:G61)</f>
        <v>362884.3508704023</v>
      </c>
    </row>
    <row r="64" spans="3:11" ht="15.75" x14ac:dyDescent="0.25">
      <c r="C64" s="78" t="s">
        <v>107</v>
      </c>
    </row>
    <row r="65" spans="3:9" ht="15.75" x14ac:dyDescent="0.25">
      <c r="C65" s="23" t="s">
        <v>28</v>
      </c>
    </row>
    <row r="66" spans="3:9" x14ac:dyDescent="0.25">
      <c r="E66" s="136" t="s">
        <v>99</v>
      </c>
      <c r="F66" s="136" t="s">
        <v>13</v>
      </c>
      <c r="G66" s="138" t="s">
        <v>110</v>
      </c>
    </row>
    <row r="67" spans="3:9" ht="15.75" thickBot="1" x14ac:dyDescent="0.3">
      <c r="E67" s="137"/>
      <c r="F67" s="137"/>
      <c r="G67" s="139"/>
    </row>
    <row r="68" spans="3:9" x14ac:dyDescent="0.25">
      <c r="C68" s="24" t="s">
        <v>121</v>
      </c>
      <c r="D68" s="25"/>
      <c r="E68" s="25">
        <v>3.53</v>
      </c>
      <c r="F68" s="115"/>
      <c r="G68" s="27">
        <f t="shared" ref="G68:G70" si="4">+IF(ISBLANK(F68),E68,F68)</f>
        <v>3.53</v>
      </c>
    </row>
    <row r="69" spans="3:9" x14ac:dyDescent="0.25">
      <c r="C69" s="28" t="s">
        <v>123</v>
      </c>
      <c r="D69" s="29"/>
      <c r="E69" s="29">
        <v>245</v>
      </c>
      <c r="F69" s="116"/>
      <c r="G69" s="31">
        <f t="shared" si="4"/>
        <v>245</v>
      </c>
    </row>
    <row r="70" spans="3:9" x14ac:dyDescent="0.25">
      <c r="C70" s="28" t="s">
        <v>124</v>
      </c>
      <c r="D70" s="29"/>
      <c r="E70" s="29">
        <v>5</v>
      </c>
      <c r="F70" s="116"/>
      <c r="G70" s="31">
        <f t="shared" si="4"/>
        <v>5</v>
      </c>
    </row>
    <row r="71" spans="3:9" x14ac:dyDescent="0.25">
      <c r="C71" s="28" t="s">
        <v>125</v>
      </c>
      <c r="D71" s="29"/>
      <c r="E71" s="32">
        <f>+E50</f>
        <v>29941.209211976318</v>
      </c>
      <c r="F71" s="29"/>
      <c r="G71" s="59">
        <f>+G50</f>
        <v>29941.209211976318</v>
      </c>
    </row>
    <row r="72" spans="3:9" x14ac:dyDescent="0.25">
      <c r="C72" s="28" t="s">
        <v>30</v>
      </c>
      <c r="D72" s="29"/>
      <c r="E72" s="32">
        <f>+IF(E71&gt;20000,E71-20000,0)</f>
        <v>9941.2092119763183</v>
      </c>
      <c r="F72" s="29"/>
      <c r="G72" s="59">
        <f>+IF(G71&gt;20000,G71-20000,0)</f>
        <v>9941.2092119763183</v>
      </c>
    </row>
    <row r="73" spans="3:9" x14ac:dyDescent="0.25">
      <c r="C73" s="28" t="s">
        <v>122</v>
      </c>
      <c r="D73" s="29"/>
      <c r="E73" s="29">
        <f>+E68-E40</f>
        <v>1.5999999999999999</v>
      </c>
      <c r="F73" s="29"/>
      <c r="G73" s="31">
        <f>+G68-G40</f>
        <v>1.5399999999999998</v>
      </c>
    </row>
    <row r="74" spans="3:9" ht="15.75" thickBot="1" x14ac:dyDescent="0.3">
      <c r="C74" s="34" t="s">
        <v>32</v>
      </c>
      <c r="D74" s="35"/>
      <c r="E74" s="36">
        <f>+IF(E71&gt;20000,20000*E73,E73*E71)</f>
        <v>31999.999999999996</v>
      </c>
      <c r="F74" s="35"/>
      <c r="G74" s="79">
        <f>+IF(G71&gt;20000,20000*G73,G73*G71)</f>
        <v>30799.999999999996</v>
      </c>
    </row>
    <row r="75" spans="3:9" ht="15.75" hidden="1" thickBot="1" x14ac:dyDescent="0.3">
      <c r="C75" s="34" t="s">
        <v>34</v>
      </c>
      <c r="D75" s="35"/>
      <c r="E75" s="36">
        <f>+E74*E42</f>
        <v>14399.999999999998</v>
      </c>
      <c r="F75" s="35"/>
      <c r="G75" s="79">
        <f>+G74*G42</f>
        <v>13859.999999999998</v>
      </c>
    </row>
    <row r="76" spans="3:9" ht="15.75" hidden="1" thickBot="1" x14ac:dyDescent="0.3">
      <c r="C76" s="28" t="s">
        <v>100</v>
      </c>
      <c r="D76" s="29"/>
      <c r="E76" s="32">
        <v>4000</v>
      </c>
      <c r="F76" s="80"/>
      <c r="G76" s="37">
        <f t="shared" ref="G76:G78" si="5">+IF(ISBLANK(F76),E76,F76)</f>
        <v>4000</v>
      </c>
    </row>
    <row r="77" spans="3:9" ht="15.75" hidden="1" thickBot="1" x14ac:dyDescent="0.3">
      <c r="C77" s="28" t="s">
        <v>74</v>
      </c>
      <c r="D77" s="29"/>
      <c r="E77" s="32">
        <v>1100</v>
      </c>
      <c r="F77" s="80"/>
      <c r="G77" s="37">
        <f t="shared" si="5"/>
        <v>1100</v>
      </c>
      <c r="I77" s="2" t="s">
        <v>104</v>
      </c>
    </row>
    <row r="78" spans="3:9" ht="15.75" hidden="1" thickBot="1" x14ac:dyDescent="0.3">
      <c r="C78" s="34" t="s">
        <v>31</v>
      </c>
      <c r="D78" s="35"/>
      <c r="E78" s="36">
        <v>7000</v>
      </c>
      <c r="F78" s="81"/>
      <c r="G78" s="37">
        <f t="shared" si="5"/>
        <v>7000</v>
      </c>
    </row>
    <row r="80" spans="3:9" ht="15.75" thickBot="1" x14ac:dyDescent="0.3">
      <c r="C80" s="3" t="s">
        <v>15</v>
      </c>
    </row>
    <row r="81" spans="3:9" x14ac:dyDescent="0.25">
      <c r="C81" s="122" t="s">
        <v>8</v>
      </c>
      <c r="D81" s="41"/>
      <c r="E81" s="41">
        <f>+E48*(E69+E70)+((E22-E48)*E69)+(E48*E38*E40)</f>
        <v>466556.49729729729</v>
      </c>
      <c r="F81" s="42"/>
      <c r="G81" s="43">
        <f>+G48*(G69+G70)+((G22-G48)*G69)+(G48*IF(H38="",G38*G40,H38*G40))</f>
        <v>468511.00540540542</v>
      </c>
    </row>
    <row r="82" spans="3:9" x14ac:dyDescent="0.25">
      <c r="C82" s="44"/>
      <c r="D82" s="46"/>
      <c r="E82" s="46"/>
      <c r="F82" s="47"/>
      <c r="G82" s="48"/>
    </row>
    <row r="83" spans="3:9" x14ac:dyDescent="0.25">
      <c r="C83" s="123" t="s">
        <v>72</v>
      </c>
      <c r="D83" s="46"/>
      <c r="E83" s="46"/>
      <c r="F83" s="47"/>
      <c r="G83" s="48"/>
    </row>
    <row r="84" spans="3:9" x14ac:dyDescent="0.25">
      <c r="C84" s="44" t="s">
        <v>1</v>
      </c>
      <c r="D84" s="46"/>
      <c r="E84" s="46">
        <f>-E78</f>
        <v>-7000</v>
      </c>
      <c r="F84" s="124"/>
      <c r="G84" s="48">
        <f t="shared" ref="G84:G86" si="6">+IF(ISBLANK(F84),E84,F84)</f>
        <v>-7000</v>
      </c>
    </row>
    <row r="85" spans="3:9" x14ac:dyDescent="0.25">
      <c r="C85" s="125" t="s">
        <v>73</v>
      </c>
      <c r="D85" s="46"/>
      <c r="E85" s="46">
        <f>-E76</f>
        <v>-4000</v>
      </c>
      <c r="F85" s="124"/>
      <c r="G85" s="48">
        <f t="shared" si="6"/>
        <v>-4000</v>
      </c>
    </row>
    <row r="86" spans="3:9" x14ac:dyDescent="0.25">
      <c r="C86" s="44" t="s">
        <v>74</v>
      </c>
      <c r="D86" s="46"/>
      <c r="E86" s="46">
        <f>-E77</f>
        <v>-1100</v>
      </c>
      <c r="F86" s="124"/>
      <c r="G86" s="48">
        <f t="shared" si="6"/>
        <v>-1100</v>
      </c>
    </row>
    <row r="87" spans="3:9" x14ac:dyDescent="0.25">
      <c r="C87" s="44"/>
      <c r="D87" s="46"/>
      <c r="E87" s="46"/>
      <c r="F87" s="47"/>
      <c r="G87" s="48"/>
    </row>
    <row r="88" spans="3:9" x14ac:dyDescent="0.25">
      <c r="C88" s="44" t="s">
        <v>75</v>
      </c>
      <c r="D88" s="46"/>
      <c r="E88" s="46"/>
      <c r="F88" s="47"/>
      <c r="G88" s="48"/>
    </row>
    <row r="89" spans="3:9" x14ac:dyDescent="0.25">
      <c r="C89" s="44" t="s">
        <v>76</v>
      </c>
      <c r="D89" s="46"/>
      <c r="E89" s="46">
        <f>-(+E71-E72)*(E40+E73)</f>
        <v>-70600</v>
      </c>
      <c r="F89" s="47"/>
      <c r="G89" s="49">
        <f>-(+G71-G72)*(G40+G73)</f>
        <v>-70600</v>
      </c>
    </row>
    <row r="90" spans="3:9" x14ac:dyDescent="0.25">
      <c r="C90" s="44" t="s">
        <v>77</v>
      </c>
      <c r="D90" s="46"/>
      <c r="E90" s="46">
        <f>-E72*E40</f>
        <v>-19186.533779114292</v>
      </c>
      <c r="F90" s="47"/>
      <c r="G90" s="49">
        <f>-G72*G40</f>
        <v>-19783.006331832872</v>
      </c>
    </row>
    <row r="91" spans="3:9" x14ac:dyDescent="0.25">
      <c r="C91" s="44" t="s">
        <v>78</v>
      </c>
      <c r="D91" s="46"/>
      <c r="E91" s="46">
        <f>-3*E40*E48</f>
        <v>-7858.7513513513513</v>
      </c>
      <c r="F91" s="47"/>
      <c r="G91" s="49">
        <f>-3*G40*G48</f>
        <v>-8103.0648648648648</v>
      </c>
      <c r="I91" s="2" t="s">
        <v>97</v>
      </c>
    </row>
    <row r="92" spans="3:9" x14ac:dyDescent="0.25">
      <c r="C92" s="44"/>
      <c r="D92" s="46"/>
      <c r="E92" s="46"/>
      <c r="F92" s="47"/>
      <c r="G92" s="49"/>
    </row>
    <row r="93" spans="3:9" x14ac:dyDescent="0.25">
      <c r="C93" s="123" t="s">
        <v>79</v>
      </c>
      <c r="D93" s="46"/>
      <c r="E93" s="46">
        <f>+SUM(E81:E91)</f>
        <v>356811.21216683165</v>
      </c>
      <c r="F93" s="47"/>
      <c r="G93" s="49">
        <f>+SUM(G81:G91)</f>
        <v>357924.93420870771</v>
      </c>
    </row>
    <row r="94" spans="3:9" x14ac:dyDescent="0.25">
      <c r="C94" s="44" t="s">
        <v>34</v>
      </c>
      <c r="D94" s="46"/>
      <c r="E94" s="46">
        <f>+E93-E95</f>
        <v>160565.04547507424</v>
      </c>
      <c r="F94" s="47"/>
      <c r="G94" s="49">
        <f>+G93-G95</f>
        <v>161066.22039391845</v>
      </c>
    </row>
    <row r="95" spans="3:9" x14ac:dyDescent="0.25">
      <c r="C95" s="123" t="s">
        <v>80</v>
      </c>
      <c r="D95" s="126"/>
      <c r="E95" s="126">
        <f>(1-E42)*E93</f>
        <v>196246.16669175742</v>
      </c>
      <c r="F95" s="47"/>
      <c r="G95" s="127">
        <f>(1-G42)*G93</f>
        <v>196858.71381478925</v>
      </c>
    </row>
    <row r="96" spans="3:9" x14ac:dyDescent="0.25">
      <c r="C96" s="123"/>
      <c r="D96" s="126"/>
      <c r="E96" s="126"/>
      <c r="F96" s="47"/>
      <c r="G96" s="127"/>
    </row>
    <row r="97" spans="3:7" x14ac:dyDescent="0.25">
      <c r="C97" s="123" t="s">
        <v>81</v>
      </c>
      <c r="D97" s="126"/>
      <c r="E97" s="126">
        <f>-SUM(E89:E91)</f>
        <v>97645.285130465651</v>
      </c>
      <c r="F97" s="47"/>
      <c r="G97" s="127">
        <f>-SUM(G89:G91)</f>
        <v>98486.07119669774</v>
      </c>
    </row>
    <row r="98" spans="3:7" x14ac:dyDescent="0.25">
      <c r="C98" s="123" t="s">
        <v>82</v>
      </c>
      <c r="D98" s="126"/>
      <c r="E98" s="126">
        <f>-D200</f>
        <v>-48681.129769434636</v>
      </c>
      <c r="F98" s="47"/>
      <c r="G98" s="127">
        <f>-G200</f>
        <v>-48681.129769434636</v>
      </c>
    </row>
    <row r="99" spans="3:7" x14ac:dyDescent="0.25">
      <c r="C99" s="123"/>
      <c r="D99" s="126"/>
      <c r="E99" s="126"/>
      <c r="F99" s="47"/>
      <c r="G99" s="127"/>
    </row>
    <row r="100" spans="3:7" x14ac:dyDescent="0.25">
      <c r="C100" s="123" t="s">
        <v>83</v>
      </c>
      <c r="D100" s="126"/>
      <c r="E100" s="126">
        <f>+E95+E97+E98</f>
        <v>245210.32205278846</v>
      </c>
      <c r="F100" s="47"/>
      <c r="G100" s="127">
        <f>+G95+G97+G98</f>
        <v>246663.65524205234</v>
      </c>
    </row>
    <row r="101" spans="3:7" ht="15.75" thickBot="1" x14ac:dyDescent="0.3">
      <c r="C101" s="44"/>
      <c r="D101" s="46"/>
      <c r="E101" s="120"/>
      <c r="F101" s="47"/>
      <c r="G101" s="49"/>
    </row>
    <row r="102" spans="3:7" ht="15.75" thickBot="1" x14ac:dyDescent="0.3">
      <c r="C102" s="128" t="s">
        <v>101</v>
      </c>
      <c r="D102" s="120"/>
      <c r="E102" s="52">
        <f>+E100/(1-E42)</f>
        <v>445836.94918688806</v>
      </c>
      <c r="F102" s="53"/>
      <c r="G102" s="129">
        <f>+G100/(1-G42)</f>
        <v>448479.37316736783</v>
      </c>
    </row>
    <row r="105" spans="3:7" ht="15.75" x14ac:dyDescent="0.25">
      <c r="C105" s="23" t="s">
        <v>126</v>
      </c>
    </row>
    <row r="106" spans="3:7" ht="15.75" thickBot="1" x14ac:dyDescent="0.3"/>
    <row r="107" spans="3:7" x14ac:dyDescent="0.25">
      <c r="C107" s="24" t="s">
        <v>29</v>
      </c>
      <c r="D107" s="25"/>
      <c r="E107" s="25"/>
      <c r="F107" s="25"/>
      <c r="G107" s="27"/>
    </row>
    <row r="108" spans="3:7" x14ac:dyDescent="0.25">
      <c r="C108" s="28" t="s">
        <v>85</v>
      </c>
      <c r="D108" s="29"/>
      <c r="E108" s="32">
        <v>10000</v>
      </c>
      <c r="F108" s="116"/>
      <c r="G108" s="31">
        <f t="shared" ref="G108:G109" si="7">+IF(ISBLANK(F108),E108,F108)</f>
        <v>10000</v>
      </c>
    </row>
    <row r="109" spans="3:7" x14ac:dyDescent="0.25">
      <c r="C109" s="28" t="s">
        <v>86</v>
      </c>
      <c r="D109" s="29"/>
      <c r="E109" s="32">
        <v>450</v>
      </c>
      <c r="F109" s="116"/>
      <c r="G109" s="59">
        <f t="shared" si="7"/>
        <v>450</v>
      </c>
    </row>
    <row r="110" spans="3:7" x14ac:dyDescent="0.25">
      <c r="C110" s="28" t="s">
        <v>87</v>
      </c>
      <c r="D110" s="29"/>
      <c r="E110" s="32">
        <f>+E108+((E44-16)*E109)</f>
        <v>11350</v>
      </c>
      <c r="F110" s="56"/>
      <c r="G110" s="59">
        <f>+G108+((G44-16)*G109)</f>
        <v>11350</v>
      </c>
    </row>
    <row r="111" spans="3:7" x14ac:dyDescent="0.25">
      <c r="C111" s="28" t="s">
        <v>33</v>
      </c>
      <c r="D111" s="29"/>
      <c r="E111" s="32">
        <f>+IF(F110=0,E110*0.8,F110*0.8)</f>
        <v>9080</v>
      </c>
      <c r="F111" s="29"/>
      <c r="G111" s="59">
        <f>+IF(H110=0,G110*0.8,H110*0.8)</f>
        <v>9080</v>
      </c>
    </row>
    <row r="112" spans="3:7" x14ac:dyDescent="0.25">
      <c r="C112" s="28" t="s">
        <v>127</v>
      </c>
      <c r="D112" s="29"/>
      <c r="E112" s="32">
        <v>200</v>
      </c>
      <c r="F112" s="116"/>
      <c r="G112" s="59">
        <f t="shared" ref="G112" si="8">+IF(ISBLANK(F112),E112,F112)</f>
        <v>200</v>
      </c>
    </row>
    <row r="113" spans="3:8" x14ac:dyDescent="0.25">
      <c r="C113" s="28" t="s">
        <v>10</v>
      </c>
      <c r="D113" s="29"/>
      <c r="E113" s="32">
        <f>+E39</f>
        <v>1620</v>
      </c>
      <c r="F113" s="29"/>
      <c r="G113" s="59">
        <f>+G39</f>
        <v>1620</v>
      </c>
    </row>
    <row r="114" spans="3:8" x14ac:dyDescent="0.25">
      <c r="C114" s="28" t="s">
        <v>35</v>
      </c>
      <c r="D114" s="58"/>
      <c r="E114" s="32">
        <f>+E113-E41*E36-E112</f>
        <v>1157.2972972972973</v>
      </c>
      <c r="F114" s="29"/>
      <c r="G114" s="59">
        <f>+G113-G41*G36-IF(ISBLANK(H112),G112,H112)</f>
        <v>1157.2972972972973</v>
      </c>
    </row>
    <row r="115" spans="3:8" x14ac:dyDescent="0.25">
      <c r="C115" s="28" t="s">
        <v>7</v>
      </c>
      <c r="D115" s="29"/>
      <c r="E115" s="32">
        <f>+E114/(E44+E47)</f>
        <v>55.98535646911597</v>
      </c>
      <c r="F115" s="29"/>
      <c r="G115" s="59">
        <f>+G114/(G44+G47)</f>
        <v>55.98535646911597</v>
      </c>
    </row>
    <row r="116" spans="3:8" x14ac:dyDescent="0.25">
      <c r="C116" s="28" t="s">
        <v>36</v>
      </c>
      <c r="D116" s="29"/>
      <c r="E116" s="32">
        <f>+E115*E38*E44</f>
        <v>25529.322549916884</v>
      </c>
      <c r="F116" s="29"/>
      <c r="G116" s="59">
        <f>+G115*G38*G44</f>
        <v>25529.322549916884</v>
      </c>
    </row>
    <row r="117" spans="3:8" x14ac:dyDescent="0.25">
      <c r="C117" s="28" t="s">
        <v>88</v>
      </c>
      <c r="D117" s="29"/>
      <c r="E117" s="84">
        <v>420</v>
      </c>
      <c r="F117" s="116"/>
      <c r="G117" s="59">
        <f t="shared" ref="G117:G118" si="9">+IF(ISBLANK(F117),E117,F117)</f>
        <v>420</v>
      </c>
    </row>
    <row r="118" spans="3:8" x14ac:dyDescent="0.25">
      <c r="C118" s="28" t="s">
        <v>89</v>
      </c>
      <c r="D118" s="29"/>
      <c r="E118" s="84">
        <v>620</v>
      </c>
      <c r="F118" s="116"/>
      <c r="G118" s="59">
        <f t="shared" si="9"/>
        <v>620</v>
      </c>
    </row>
    <row r="119" spans="3:8" x14ac:dyDescent="0.25">
      <c r="C119" s="28"/>
      <c r="D119" s="29"/>
      <c r="E119" s="84"/>
      <c r="F119" s="29"/>
      <c r="G119" s="31"/>
    </row>
    <row r="120" spans="3:8" x14ac:dyDescent="0.25">
      <c r="C120" s="28"/>
      <c r="D120" s="29"/>
      <c r="E120" s="29"/>
      <c r="F120" s="29"/>
      <c r="G120" s="31"/>
      <c r="H120" s="85"/>
    </row>
    <row r="121" spans="3:8" x14ac:dyDescent="0.25">
      <c r="C121" s="55" t="s">
        <v>98</v>
      </c>
      <c r="D121" s="29"/>
      <c r="E121" s="86">
        <v>5000</v>
      </c>
      <c r="F121" s="116"/>
      <c r="G121" s="59">
        <f t="shared" ref="G121:G129" si="10">+IF(ISBLANK(F121),E121,F121)</f>
        <v>5000</v>
      </c>
    </row>
    <row r="122" spans="3:8" x14ac:dyDescent="0.25">
      <c r="C122" s="83" t="s">
        <v>2</v>
      </c>
      <c r="D122" s="29"/>
      <c r="E122" s="87">
        <v>42000</v>
      </c>
      <c r="F122" s="116"/>
      <c r="G122" s="59">
        <f t="shared" si="10"/>
        <v>42000</v>
      </c>
    </row>
    <row r="123" spans="3:8" x14ac:dyDescent="0.25">
      <c r="C123" s="83" t="s">
        <v>3</v>
      </c>
      <c r="D123" s="29"/>
      <c r="E123" s="87">
        <v>1920</v>
      </c>
      <c r="F123" s="116"/>
      <c r="G123" s="59">
        <f t="shared" si="10"/>
        <v>1920</v>
      </c>
    </row>
    <row r="124" spans="3:8" x14ac:dyDescent="0.25">
      <c r="C124" s="82" t="s">
        <v>92</v>
      </c>
      <c r="D124" s="29"/>
      <c r="E124" s="87">
        <v>6000</v>
      </c>
      <c r="F124" s="116"/>
      <c r="G124" s="59">
        <f t="shared" si="10"/>
        <v>6000</v>
      </c>
    </row>
    <row r="125" spans="3:8" x14ac:dyDescent="0.25">
      <c r="C125" s="83" t="s">
        <v>4</v>
      </c>
      <c r="D125" s="29"/>
      <c r="E125" s="87">
        <v>9600</v>
      </c>
      <c r="F125" s="116"/>
      <c r="G125" s="59">
        <f t="shared" si="10"/>
        <v>9600</v>
      </c>
    </row>
    <row r="126" spans="3:8" x14ac:dyDescent="0.25">
      <c r="C126" s="83" t="s">
        <v>5</v>
      </c>
      <c r="D126" s="29"/>
      <c r="E126" s="87">
        <v>5000</v>
      </c>
      <c r="F126" s="116"/>
      <c r="G126" s="59">
        <f t="shared" si="10"/>
        <v>5000</v>
      </c>
    </row>
    <row r="127" spans="3:8" x14ac:dyDescent="0.25">
      <c r="C127" s="28" t="s">
        <v>1</v>
      </c>
      <c r="D127" s="29"/>
      <c r="E127" s="87">
        <v>10000</v>
      </c>
      <c r="F127" s="116"/>
      <c r="G127" s="59">
        <f t="shared" si="10"/>
        <v>10000</v>
      </c>
    </row>
    <row r="128" spans="3:8" x14ac:dyDescent="0.25">
      <c r="C128" s="83" t="s">
        <v>12</v>
      </c>
      <c r="D128" s="29"/>
      <c r="E128" s="87">
        <v>4000</v>
      </c>
      <c r="F128" s="116"/>
      <c r="G128" s="59">
        <f t="shared" si="10"/>
        <v>4000</v>
      </c>
    </row>
    <row r="129" spans="3:7" x14ac:dyDescent="0.25">
      <c r="C129" s="83" t="s">
        <v>94</v>
      </c>
      <c r="D129" s="29"/>
      <c r="E129" s="87">
        <v>1100</v>
      </c>
      <c r="F129" s="116"/>
      <c r="G129" s="59">
        <f t="shared" si="10"/>
        <v>1100</v>
      </c>
    </row>
    <row r="130" spans="3:7" x14ac:dyDescent="0.25">
      <c r="C130" s="83" t="s">
        <v>90</v>
      </c>
      <c r="D130" s="29"/>
      <c r="E130" s="87">
        <f>+E117*E115</f>
        <v>23513.849717028708</v>
      </c>
      <c r="F130" s="56"/>
      <c r="G130" s="88">
        <f>+G117*G115</f>
        <v>23513.849717028708</v>
      </c>
    </row>
    <row r="131" spans="3:7" x14ac:dyDescent="0.25">
      <c r="C131" s="83" t="s">
        <v>91</v>
      </c>
      <c r="D131" s="29"/>
      <c r="E131" s="87">
        <f>+E115*E118</f>
        <v>34710.921010851904</v>
      </c>
      <c r="F131" s="56"/>
      <c r="G131" s="88">
        <f>+G115*G118</f>
        <v>34710.921010851904</v>
      </c>
    </row>
    <row r="132" spans="3:7" ht="15.75" thickBot="1" x14ac:dyDescent="0.3">
      <c r="C132" s="89"/>
      <c r="D132" s="35"/>
      <c r="E132" s="90">
        <f>SUM(E121:E131)</f>
        <v>142844.77072788059</v>
      </c>
      <c r="F132" s="72"/>
      <c r="G132" s="91">
        <f>SUM(G121:G131)</f>
        <v>142844.77072788059</v>
      </c>
    </row>
    <row r="133" spans="3:7" x14ac:dyDescent="0.25">
      <c r="D133" s="92"/>
      <c r="E133" s="92"/>
    </row>
    <row r="134" spans="3:7" ht="15.75" thickBot="1" x14ac:dyDescent="0.3">
      <c r="C134" s="3" t="s">
        <v>15</v>
      </c>
      <c r="D134" s="92"/>
      <c r="E134" s="92"/>
    </row>
    <row r="135" spans="3:7" x14ac:dyDescent="0.25">
      <c r="C135" s="39" t="s">
        <v>8</v>
      </c>
      <c r="D135" s="130"/>
      <c r="E135" s="130">
        <f>+E115*E111</f>
        <v>508347.036739573</v>
      </c>
      <c r="F135" s="42"/>
      <c r="G135" s="131">
        <f>+G115*G111</f>
        <v>508347.036739573</v>
      </c>
    </row>
    <row r="136" spans="3:7" x14ac:dyDescent="0.25">
      <c r="C136" s="44"/>
      <c r="D136" s="132"/>
      <c r="E136" s="132"/>
      <c r="F136" s="47"/>
      <c r="G136" s="133"/>
    </row>
    <row r="137" spans="3:7" x14ac:dyDescent="0.25">
      <c r="C137" s="44" t="s">
        <v>72</v>
      </c>
      <c r="D137" s="132"/>
      <c r="E137" s="134"/>
      <c r="F137" s="47"/>
      <c r="G137" s="48"/>
    </row>
    <row r="138" spans="3:7" x14ac:dyDescent="0.25">
      <c r="C138" s="44" t="s">
        <v>93</v>
      </c>
      <c r="D138" s="132"/>
      <c r="E138" s="132">
        <f>-E132</f>
        <v>-142844.77072788059</v>
      </c>
      <c r="F138" s="47"/>
      <c r="G138" s="133">
        <f>-G132</f>
        <v>-142844.77072788059</v>
      </c>
    </row>
    <row r="139" spans="3:7" x14ac:dyDescent="0.25">
      <c r="C139" s="123" t="s">
        <v>75</v>
      </c>
      <c r="D139" s="46"/>
      <c r="E139" s="46"/>
      <c r="F139" s="47"/>
      <c r="G139" s="49"/>
    </row>
    <row r="140" spans="3:7" x14ac:dyDescent="0.25">
      <c r="C140" s="44" t="s">
        <v>76</v>
      </c>
      <c r="D140" s="46"/>
      <c r="E140" s="46">
        <f>+E89</f>
        <v>-70600</v>
      </c>
      <c r="F140" s="47"/>
      <c r="G140" s="49">
        <f>+G89</f>
        <v>-70600</v>
      </c>
    </row>
    <row r="141" spans="3:7" x14ac:dyDescent="0.25">
      <c r="C141" s="44" t="s">
        <v>77</v>
      </c>
      <c r="D141" s="46"/>
      <c r="E141" s="46">
        <f>+E90</f>
        <v>-19186.533779114292</v>
      </c>
      <c r="F141" s="47"/>
      <c r="G141" s="49">
        <f>+G90</f>
        <v>-19783.006331832872</v>
      </c>
    </row>
    <row r="142" spans="3:7" x14ac:dyDescent="0.25">
      <c r="C142" s="44" t="s">
        <v>78</v>
      </c>
      <c r="D142" s="46"/>
      <c r="E142" s="46">
        <f>+E91</f>
        <v>-7858.7513513513513</v>
      </c>
      <c r="F142" s="47"/>
      <c r="G142" s="49">
        <f>+G91</f>
        <v>-8103.0648648648648</v>
      </c>
    </row>
    <row r="143" spans="3:7" x14ac:dyDescent="0.25">
      <c r="C143" s="44"/>
      <c r="D143" s="46"/>
      <c r="E143" s="46"/>
      <c r="F143" s="47"/>
      <c r="G143" s="49"/>
    </row>
    <row r="144" spans="3:7" x14ac:dyDescent="0.25">
      <c r="C144" s="123" t="s">
        <v>79</v>
      </c>
      <c r="D144" s="46"/>
      <c r="E144" s="46">
        <f>+SUM(E135:E142)</f>
        <v>267856.98088122677</v>
      </c>
      <c r="F144" s="47"/>
      <c r="G144" s="49">
        <f>+SUM(G135:G142)</f>
        <v>267016.1948149947</v>
      </c>
    </row>
    <row r="145" spans="3:7" x14ac:dyDescent="0.25">
      <c r="C145" s="44" t="s">
        <v>34</v>
      </c>
      <c r="D145" s="46"/>
      <c r="E145" s="46">
        <f>+E144-E146</f>
        <v>120535.64139655203</v>
      </c>
      <c r="F145" s="47"/>
      <c r="G145" s="49">
        <f>+G144-G146</f>
        <v>120157.28766674761</v>
      </c>
    </row>
    <row r="146" spans="3:7" x14ac:dyDescent="0.25">
      <c r="C146" s="123" t="s">
        <v>80</v>
      </c>
      <c r="D146" s="126"/>
      <c r="E146" s="126">
        <f>(1-E42)*E144</f>
        <v>147321.33948467474</v>
      </c>
      <c r="F146" s="47"/>
      <c r="G146" s="127">
        <f>(1-G42)*G144</f>
        <v>146858.90714824709</v>
      </c>
    </row>
    <row r="147" spans="3:7" x14ac:dyDescent="0.25">
      <c r="C147" s="123"/>
      <c r="D147" s="126"/>
      <c r="E147" s="126"/>
      <c r="F147" s="47"/>
      <c r="G147" s="127"/>
    </row>
    <row r="148" spans="3:7" x14ac:dyDescent="0.25">
      <c r="C148" s="123" t="s">
        <v>81</v>
      </c>
      <c r="D148" s="126"/>
      <c r="E148" s="126">
        <f>-SUM(E140:E142)</f>
        <v>97645.285130465651</v>
      </c>
      <c r="F148" s="47"/>
      <c r="G148" s="127">
        <f>-SUM(G140:G142)</f>
        <v>98486.07119669774</v>
      </c>
    </row>
    <row r="149" spans="3:7" x14ac:dyDescent="0.25">
      <c r="C149" s="123" t="s">
        <v>82</v>
      </c>
      <c r="D149" s="126"/>
      <c r="E149" s="126">
        <f>-D200</f>
        <v>-48681.129769434636</v>
      </c>
      <c r="F149" s="47"/>
      <c r="G149" s="127">
        <f>-G200</f>
        <v>-48681.129769434636</v>
      </c>
    </row>
    <row r="150" spans="3:7" x14ac:dyDescent="0.25">
      <c r="C150" s="123"/>
      <c r="D150" s="126"/>
      <c r="E150" s="126"/>
      <c r="F150" s="47"/>
      <c r="G150" s="127"/>
    </row>
    <row r="151" spans="3:7" x14ac:dyDescent="0.25">
      <c r="C151" s="123" t="s">
        <v>83</v>
      </c>
      <c r="D151" s="126"/>
      <c r="E151" s="126">
        <f>+E146+E148+E149</f>
        <v>196285.49484570575</v>
      </c>
      <c r="F151" s="47"/>
      <c r="G151" s="127">
        <f>+G146+G148+G149</f>
        <v>196663.8485755102</v>
      </c>
    </row>
    <row r="152" spans="3:7" x14ac:dyDescent="0.25">
      <c r="C152" s="44"/>
      <c r="D152" s="46"/>
      <c r="E152" s="46"/>
      <c r="F152" s="47"/>
      <c r="G152" s="49"/>
    </row>
    <row r="153" spans="3:7" x14ac:dyDescent="0.25">
      <c r="C153" s="44"/>
      <c r="D153" s="46"/>
      <c r="E153" s="46"/>
      <c r="F153" s="47"/>
      <c r="G153" s="49"/>
    </row>
    <row r="154" spans="3:7" ht="15.75" thickBot="1" x14ac:dyDescent="0.3">
      <c r="C154" s="128" t="s">
        <v>84</v>
      </c>
      <c r="D154" s="135"/>
      <c r="E154" s="52">
        <f>+$E$151/(1-$E$42)</f>
        <v>356882.71790128318</v>
      </c>
      <c r="F154" s="53"/>
      <c r="G154" s="54">
        <f>+$G$151/(1-$E$42)</f>
        <v>357570.63377365487</v>
      </c>
    </row>
    <row r="157" spans="3:7" ht="16.5" thickBot="1" x14ac:dyDescent="0.3">
      <c r="C157" s="23" t="s">
        <v>128</v>
      </c>
    </row>
    <row r="158" spans="3:7" x14ac:dyDescent="0.25">
      <c r="C158" s="76"/>
      <c r="D158" s="77"/>
      <c r="E158" s="25"/>
      <c r="F158" s="25"/>
      <c r="G158" s="27"/>
    </row>
    <row r="159" spans="3:7" x14ac:dyDescent="0.25">
      <c r="C159" s="55"/>
      <c r="D159" s="67"/>
      <c r="E159" s="29"/>
      <c r="F159" s="29"/>
      <c r="G159" s="31"/>
    </row>
    <row r="160" spans="3:7" x14ac:dyDescent="0.25">
      <c r="C160" s="93" t="s">
        <v>38</v>
      </c>
      <c r="D160" s="67"/>
      <c r="E160" s="29"/>
      <c r="F160" s="29"/>
      <c r="G160" s="31"/>
    </row>
    <row r="161" spans="3:8" x14ac:dyDescent="0.25">
      <c r="C161" s="55" t="s">
        <v>39</v>
      </c>
      <c r="D161" s="67">
        <v>200000</v>
      </c>
      <c r="E161" s="29"/>
      <c r="F161" s="116"/>
      <c r="G161" s="59">
        <f>+IF(ISBLANK(F161),D161,F161)</f>
        <v>200000</v>
      </c>
    </row>
    <row r="162" spans="3:8" x14ac:dyDescent="0.25">
      <c r="C162" s="55" t="s">
        <v>129</v>
      </c>
      <c r="D162" s="67">
        <v>4</v>
      </c>
      <c r="E162" s="29"/>
      <c r="F162" s="116"/>
      <c r="G162" s="31">
        <f t="shared" ref="G162:G163" si="11">+IF(ISBLANK(F162),D162,F162)</f>
        <v>4</v>
      </c>
      <c r="H162" s="29"/>
    </row>
    <row r="163" spans="3:8" x14ac:dyDescent="0.25">
      <c r="C163" s="55" t="s">
        <v>130</v>
      </c>
      <c r="D163" s="67">
        <v>45000</v>
      </c>
      <c r="E163" s="29"/>
      <c r="F163" s="116"/>
      <c r="G163" s="59">
        <f t="shared" si="11"/>
        <v>45000</v>
      </c>
      <c r="H163" s="29"/>
    </row>
    <row r="164" spans="3:8" x14ac:dyDescent="0.25">
      <c r="C164" s="55"/>
      <c r="D164" s="67"/>
      <c r="E164" s="29"/>
      <c r="F164" s="29"/>
      <c r="G164" s="31"/>
    </row>
    <row r="165" spans="3:8" x14ac:dyDescent="0.25">
      <c r="C165" s="55" t="s">
        <v>40</v>
      </c>
      <c r="D165" s="94">
        <f>(+D161-D163)/D162</f>
        <v>38750</v>
      </c>
      <c r="E165" s="29"/>
      <c r="F165" s="29"/>
      <c r="G165" s="95">
        <f>(+G161-G163)/G162</f>
        <v>38750</v>
      </c>
      <c r="H165" s="29"/>
    </row>
    <row r="166" spans="3:8" x14ac:dyDescent="0.25">
      <c r="C166" s="55"/>
      <c r="D166" s="67"/>
      <c r="E166" s="29"/>
      <c r="F166" s="29"/>
      <c r="G166" s="31"/>
    </row>
    <row r="167" spans="3:8" x14ac:dyDescent="0.25">
      <c r="C167" s="55" t="s">
        <v>41</v>
      </c>
      <c r="D167" s="67">
        <v>18000</v>
      </c>
      <c r="E167" s="96">
        <f>+D167/D169</f>
        <v>0.41351436102316208</v>
      </c>
      <c r="F167" s="116"/>
      <c r="G167" s="59">
        <f>+IF(ISBLANK(F167),D167,F167)</f>
        <v>18000</v>
      </c>
      <c r="H167" s="97">
        <f>+G167/G169</f>
        <v>0.41351436102316208</v>
      </c>
    </row>
    <row r="168" spans="3:8" x14ac:dyDescent="0.25">
      <c r="C168" s="55" t="s">
        <v>42</v>
      </c>
      <c r="D168" s="67">
        <f>+E116</f>
        <v>25529.322549916884</v>
      </c>
      <c r="E168" s="96">
        <f>+D168/D169</f>
        <v>0.58648563897683792</v>
      </c>
      <c r="F168" s="29"/>
      <c r="G168" s="68">
        <f>+E116</f>
        <v>25529.322549916884</v>
      </c>
      <c r="H168" s="97">
        <f>+G168/G169</f>
        <v>0.58648563897683792</v>
      </c>
    </row>
    <row r="169" spans="3:8" x14ac:dyDescent="0.25">
      <c r="C169" s="55"/>
      <c r="D169" s="98">
        <f>SUM(D167:D168)</f>
        <v>43529.322549916884</v>
      </c>
      <c r="E169" s="29"/>
      <c r="F169" s="29"/>
      <c r="G169" s="95">
        <f>SUM(G167:G168)</f>
        <v>43529.322549916884</v>
      </c>
    </row>
    <row r="170" spans="3:8" x14ac:dyDescent="0.25">
      <c r="C170" s="55"/>
      <c r="D170" s="67"/>
      <c r="E170" s="29"/>
      <c r="F170" s="29"/>
      <c r="G170" s="31"/>
    </row>
    <row r="171" spans="3:8" x14ac:dyDescent="0.25">
      <c r="C171" s="93" t="s">
        <v>43</v>
      </c>
      <c r="D171" s="67"/>
      <c r="E171" s="29"/>
      <c r="F171" s="29"/>
      <c r="G171" s="31"/>
    </row>
    <row r="172" spans="3:8" x14ac:dyDescent="0.25">
      <c r="C172" s="55" t="s">
        <v>44</v>
      </c>
      <c r="D172" s="67">
        <f>+D165*E167</f>
        <v>16023.68148964753</v>
      </c>
      <c r="E172" s="29"/>
      <c r="F172" s="29"/>
      <c r="G172" s="59">
        <f>+G165*H167</f>
        <v>16023.68148964753</v>
      </c>
    </row>
    <row r="173" spans="3:8" x14ac:dyDescent="0.25">
      <c r="C173" s="55" t="s">
        <v>45</v>
      </c>
      <c r="D173" s="67">
        <f>+D165*E168</f>
        <v>22726.31851035247</v>
      </c>
      <c r="E173" s="29"/>
      <c r="F173" s="29"/>
      <c r="G173" s="59">
        <f>+G165*H168</f>
        <v>22726.31851035247</v>
      </c>
    </row>
    <row r="174" spans="3:8" x14ac:dyDescent="0.25">
      <c r="C174" s="55"/>
      <c r="D174" s="98">
        <f>SUM(D172:D173)</f>
        <v>38750</v>
      </c>
      <c r="E174" s="29"/>
      <c r="F174" s="29"/>
      <c r="G174" s="99">
        <f>SUM(G172:G173)</f>
        <v>38750</v>
      </c>
      <c r="H174" s="29"/>
    </row>
    <row r="175" spans="3:8" x14ac:dyDescent="0.25">
      <c r="C175" s="55"/>
      <c r="D175" s="67"/>
      <c r="E175" s="29"/>
      <c r="F175" s="29"/>
      <c r="G175" s="31"/>
    </row>
    <row r="176" spans="3:8" x14ac:dyDescent="0.25">
      <c r="C176" s="55" t="s">
        <v>46</v>
      </c>
      <c r="D176" s="100">
        <v>18</v>
      </c>
      <c r="E176" s="29" t="s">
        <v>47</v>
      </c>
      <c r="F176" s="116"/>
      <c r="G176" s="31">
        <f t="shared" ref="G176:G177" si="12">+IF(ISBLANK(F176),D176,F176)</f>
        <v>18</v>
      </c>
    </row>
    <row r="177" spans="3:8" x14ac:dyDescent="0.25">
      <c r="C177" s="55" t="s">
        <v>48</v>
      </c>
      <c r="D177" s="100">
        <v>7.5</v>
      </c>
      <c r="E177" s="29" t="s">
        <v>49</v>
      </c>
      <c r="F177" s="116"/>
      <c r="G177" s="31">
        <f t="shared" si="12"/>
        <v>7.5</v>
      </c>
    </row>
    <row r="178" spans="3:8" x14ac:dyDescent="0.25">
      <c r="C178" s="55"/>
      <c r="D178" s="67"/>
      <c r="E178" s="29"/>
      <c r="F178" s="29"/>
      <c r="G178" s="31"/>
    </row>
    <row r="179" spans="3:8" x14ac:dyDescent="0.25">
      <c r="C179" s="55" t="s">
        <v>50</v>
      </c>
      <c r="D179" s="67">
        <v>30000</v>
      </c>
      <c r="E179" s="29"/>
      <c r="F179" s="116"/>
      <c r="G179" s="59">
        <f>+IF(ISBLANK(F179),D179,F179)</f>
        <v>30000</v>
      </c>
    </row>
    <row r="180" spans="3:8" x14ac:dyDescent="0.25">
      <c r="C180" s="55" t="s">
        <v>51</v>
      </c>
      <c r="D180" s="100">
        <f>+D168/D179</f>
        <v>0.85097741833056284</v>
      </c>
      <c r="E180" s="29"/>
      <c r="F180" s="29"/>
      <c r="G180" s="101">
        <f>+G168/G179</f>
        <v>0.85097741833056284</v>
      </c>
      <c r="H180" s="29"/>
    </row>
    <row r="181" spans="3:8" x14ac:dyDescent="0.25">
      <c r="C181" s="55" t="s">
        <v>52</v>
      </c>
      <c r="D181" s="67">
        <v>3000</v>
      </c>
      <c r="E181" s="29"/>
      <c r="F181" s="116"/>
      <c r="G181" s="59">
        <f>+IF(ISBLANK(F181),D181,F181)</f>
        <v>3000</v>
      </c>
    </row>
    <row r="182" spans="3:8" x14ac:dyDescent="0.25">
      <c r="C182" s="55"/>
      <c r="D182" s="67"/>
      <c r="E182" s="29"/>
      <c r="F182" s="29"/>
      <c r="G182" s="31"/>
    </row>
    <row r="183" spans="3:8" x14ac:dyDescent="0.25">
      <c r="C183" s="55" t="s">
        <v>102</v>
      </c>
      <c r="D183" s="100">
        <v>0.5</v>
      </c>
      <c r="E183" s="29"/>
      <c r="F183" s="116"/>
      <c r="G183" s="31">
        <f>+IF(ISBLANK(F183),D183,F183)</f>
        <v>0.5</v>
      </c>
    </row>
    <row r="184" spans="3:8" x14ac:dyDescent="0.25">
      <c r="C184" s="55"/>
      <c r="D184" s="100"/>
      <c r="E184" s="29"/>
      <c r="F184" s="29"/>
      <c r="G184" s="31"/>
      <c r="H184" s="29"/>
    </row>
    <row r="185" spans="3:8" x14ac:dyDescent="0.25">
      <c r="C185" s="55" t="s">
        <v>54</v>
      </c>
      <c r="D185" s="100">
        <f>+G38</f>
        <v>24</v>
      </c>
      <c r="E185" s="29"/>
      <c r="F185" s="58"/>
      <c r="G185" s="102">
        <f>+G38</f>
        <v>24</v>
      </c>
    </row>
    <row r="186" spans="3:8" x14ac:dyDescent="0.25">
      <c r="C186" s="55" t="s">
        <v>55</v>
      </c>
      <c r="D186" s="100">
        <f>+D168/D185</f>
        <v>1063.7217729132035</v>
      </c>
      <c r="E186" s="29"/>
      <c r="F186" s="29"/>
      <c r="G186" s="103">
        <f>+G168/G185</f>
        <v>1063.7217729132035</v>
      </c>
    </row>
    <row r="187" spans="3:8" x14ac:dyDescent="0.25">
      <c r="C187" s="55" t="s">
        <v>56</v>
      </c>
      <c r="D187" s="100">
        <v>5</v>
      </c>
      <c r="E187" s="29"/>
      <c r="F187" s="29"/>
      <c r="G187" s="103">
        <f>+G35</f>
        <v>5</v>
      </c>
    </row>
    <row r="188" spans="3:8" x14ac:dyDescent="0.25">
      <c r="C188" s="55"/>
      <c r="D188" s="67"/>
      <c r="E188" s="29"/>
      <c r="F188" s="29"/>
      <c r="G188" s="31"/>
    </row>
    <row r="189" spans="3:8" x14ac:dyDescent="0.25">
      <c r="C189" s="93" t="s">
        <v>57</v>
      </c>
      <c r="D189" s="67"/>
      <c r="E189" s="29"/>
      <c r="F189" s="29"/>
      <c r="G189" s="31"/>
    </row>
    <row r="190" spans="3:8" x14ac:dyDescent="0.25">
      <c r="C190" s="28" t="s">
        <v>60</v>
      </c>
      <c r="D190" s="67"/>
      <c r="E190" s="29"/>
      <c r="F190" s="29"/>
      <c r="G190" s="31"/>
    </row>
    <row r="191" spans="3:8" x14ac:dyDescent="0.25">
      <c r="C191" s="55" t="s">
        <v>58</v>
      </c>
      <c r="D191" s="67">
        <v>6000</v>
      </c>
      <c r="E191" s="29"/>
      <c r="F191" s="29"/>
      <c r="G191" s="104">
        <f>+D191</f>
        <v>6000</v>
      </c>
    </row>
    <row r="192" spans="3:8" x14ac:dyDescent="0.25">
      <c r="C192" s="55" t="s">
        <v>59</v>
      </c>
      <c r="D192" s="67">
        <v>4000</v>
      </c>
      <c r="E192" s="29"/>
      <c r="F192" s="29"/>
      <c r="G192" s="104">
        <f>+D192</f>
        <v>4000</v>
      </c>
    </row>
    <row r="193" spans="3:8" x14ac:dyDescent="0.25">
      <c r="C193" s="55"/>
      <c r="D193" s="98">
        <f>SUM(D191:D192)</f>
        <v>10000</v>
      </c>
      <c r="E193" s="29"/>
      <c r="F193" s="29"/>
      <c r="G193" s="105">
        <f>+G191+G192</f>
        <v>10000</v>
      </c>
      <c r="H193" s="29"/>
    </row>
    <row r="194" spans="3:8" x14ac:dyDescent="0.25">
      <c r="C194" s="28"/>
      <c r="D194" s="32"/>
      <c r="E194" s="29"/>
      <c r="F194" s="29"/>
      <c r="G194" s="31"/>
    </row>
    <row r="195" spans="3:8" ht="15.75" x14ac:dyDescent="0.25">
      <c r="C195" s="106" t="s">
        <v>61</v>
      </c>
      <c r="D195" s="32"/>
      <c r="E195" s="29"/>
      <c r="F195" s="29"/>
      <c r="G195" s="31"/>
    </row>
    <row r="196" spans="3:8" x14ac:dyDescent="0.25">
      <c r="C196" s="28" t="s">
        <v>62</v>
      </c>
      <c r="D196" s="32">
        <f>+D168/D176*D177</f>
        <v>10637.217729132035</v>
      </c>
      <c r="E196" s="29"/>
      <c r="F196" s="29"/>
      <c r="G196" s="59">
        <f>+G168/G176*G177</f>
        <v>10637.217729132035</v>
      </c>
    </row>
    <row r="197" spans="3:8" x14ac:dyDescent="0.25">
      <c r="C197" s="28" t="s">
        <v>63</v>
      </c>
      <c r="D197" s="32">
        <f>+D181*D180</f>
        <v>2552.9322549916883</v>
      </c>
      <c r="E197" s="29"/>
      <c r="F197" s="29"/>
      <c r="G197" s="59">
        <f>+G181*G180</f>
        <v>2552.9322549916883</v>
      </c>
    </row>
    <row r="198" spans="3:8" x14ac:dyDescent="0.25">
      <c r="C198" s="28" t="s">
        <v>53</v>
      </c>
      <c r="D198" s="32">
        <f>+D168*D183</f>
        <v>12764.661274958442</v>
      </c>
      <c r="E198" s="29"/>
      <c r="F198" s="29"/>
      <c r="G198" s="59">
        <f>+G168*G183</f>
        <v>12764.661274958442</v>
      </c>
      <c r="H198" s="29"/>
    </row>
    <row r="199" spans="3:8" x14ac:dyDescent="0.25">
      <c r="C199" s="28" t="s">
        <v>64</v>
      </c>
      <c r="D199" s="32">
        <f>+D173</f>
        <v>22726.31851035247</v>
      </c>
      <c r="E199" s="29"/>
      <c r="F199" s="29"/>
      <c r="G199" s="59">
        <f>+G173</f>
        <v>22726.31851035247</v>
      </c>
    </row>
    <row r="200" spans="3:8" x14ac:dyDescent="0.25">
      <c r="C200" s="107" t="s">
        <v>65</v>
      </c>
      <c r="D200" s="108">
        <f>SUM(D196:D199)</f>
        <v>48681.129769434636</v>
      </c>
      <c r="E200" s="29"/>
      <c r="F200" s="29"/>
      <c r="G200" s="105">
        <f>SUM(G196:G199)</f>
        <v>48681.129769434636</v>
      </c>
    </row>
    <row r="201" spans="3:8" x14ac:dyDescent="0.25">
      <c r="C201" s="28"/>
      <c r="D201" s="32"/>
      <c r="E201" s="29"/>
      <c r="F201" s="29"/>
      <c r="G201" s="31"/>
    </row>
    <row r="202" spans="3:8" x14ac:dyDescent="0.25">
      <c r="C202" s="107" t="s">
        <v>66</v>
      </c>
      <c r="D202" s="108">
        <f>+D168*E40</f>
        <v>49271.592521339582</v>
      </c>
      <c r="E202" s="29"/>
      <c r="F202" s="29"/>
      <c r="G202" s="104">
        <f>+D202</f>
        <v>49271.592521339582</v>
      </c>
    </row>
    <row r="203" spans="3:8" x14ac:dyDescent="0.25">
      <c r="C203" s="28"/>
      <c r="D203" s="32"/>
      <c r="E203" s="29"/>
      <c r="F203" s="29"/>
      <c r="G203" s="31"/>
    </row>
    <row r="204" spans="3:8" x14ac:dyDescent="0.25">
      <c r="C204" s="107" t="s">
        <v>67</v>
      </c>
      <c r="D204" s="108">
        <f>+D202-D200</f>
        <v>590.46275190494634</v>
      </c>
      <c r="E204" s="109"/>
      <c r="F204" s="29"/>
      <c r="G204" s="104">
        <f>+G202-G200</f>
        <v>590.46275190494634</v>
      </c>
    </row>
    <row r="205" spans="3:8" x14ac:dyDescent="0.25">
      <c r="C205" s="28"/>
      <c r="D205" s="29"/>
      <c r="E205" s="29"/>
      <c r="F205" s="29"/>
      <c r="G205" s="31"/>
    </row>
    <row r="206" spans="3:8" ht="15.75" thickBot="1" x14ac:dyDescent="0.3">
      <c r="C206" s="110" t="s">
        <v>26</v>
      </c>
      <c r="D206" s="111">
        <f>+D204/D168</f>
        <v>2.3128806130692594E-2</v>
      </c>
      <c r="E206" s="112"/>
      <c r="F206" s="112"/>
      <c r="G206" s="113">
        <f>+G204/G168</f>
        <v>2.3128806130692594E-2</v>
      </c>
    </row>
    <row r="233" s="22" customFormat="1" x14ac:dyDescent="0.25"/>
    <row r="234" s="22" customFormat="1" x14ac:dyDescent="0.25"/>
    <row r="235" s="22" customFormat="1" x14ac:dyDescent="0.25"/>
    <row r="277" spans="1:1" x14ac:dyDescent="0.25">
      <c r="A277" s="114"/>
    </row>
    <row r="278" spans="1:1" x14ac:dyDescent="0.25">
      <c r="A278" s="114"/>
    </row>
    <row r="279" spans="1:1" x14ac:dyDescent="0.25">
      <c r="A279" s="114"/>
    </row>
    <row r="298" hidden="1" x14ac:dyDescent="0.25"/>
  </sheetData>
  <sheetProtection password="CB9B" sheet="1" objects="1" scenarios="1"/>
  <mergeCells count="13">
    <mergeCell ref="F6:G6"/>
    <mergeCell ref="F7:G7"/>
    <mergeCell ref="F10:G10"/>
    <mergeCell ref="F11:G11"/>
    <mergeCell ref="E18:E19"/>
    <mergeCell ref="F18:F19"/>
    <mergeCell ref="G18:G19"/>
    <mergeCell ref="E66:E67"/>
    <mergeCell ref="F66:F67"/>
    <mergeCell ref="G66:G67"/>
    <mergeCell ref="E32:E33"/>
    <mergeCell ref="F32:F33"/>
    <mergeCell ref="G32:G33"/>
  </mergeCells>
  <conditionalFormatting sqref="D204">
    <cfRule type="cellIs" dxfId="1" priority="1" operator="lessThan">
      <formula>0</formula>
    </cfRule>
    <cfRule type="cellIs" dxfId="0" priority="2" operator="greaterThan">
      <formula>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Beregning af arbejdsforhold</vt: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Jørgensen</dc:creator>
  <cp:lastModifiedBy>Morten Jørgensen</cp:lastModifiedBy>
  <dcterms:created xsi:type="dcterms:W3CDTF">2014-07-04T06:02:21Z</dcterms:created>
  <dcterms:modified xsi:type="dcterms:W3CDTF">2017-01-16T14:42:03Z</dcterms:modified>
</cp:coreProperties>
</file>